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Sheet1" sheetId="1" r:id="rId1"/>
  </sheets>
  <externalReferences>
    <externalReference r:id="rId4"/>
  </externalReferences>
  <definedNames>
    <definedName name="_xlfn.SINGLE" hidden="1">#NAME?</definedName>
    <definedName name="_xlnm.Print_Area" localSheetId="0">'Sheet1'!$A$1:$V$450</definedName>
    <definedName name="_xlnm.Print_Titles" localSheetId="0">'Sheet1'!$6:$9</definedName>
  </definedNames>
  <calcPr fullCalcOnLoad="1"/>
</workbook>
</file>

<file path=xl/comments1.xml><?xml version="1.0" encoding="utf-8"?>
<comments xmlns="http://schemas.openxmlformats.org/spreadsheetml/2006/main">
  <authors>
    <author>Author</author>
  </authors>
  <commentList>
    <comment ref="G96" authorId="0">
      <text>
        <r>
          <rPr>
            <sz val="10"/>
            <rFont val="Times New Roman"/>
            <family val="1"/>
          </rPr>
          <t>QĐ số 923/QĐ-UBND ngày 21/7/2021</t>
        </r>
        <r>
          <rPr>
            <sz val="9"/>
            <rFont val="Tahoma"/>
            <family val="2"/>
          </rPr>
          <t xml:space="preserve">
</t>
        </r>
      </text>
    </comment>
    <comment ref="G97" authorId="0">
      <text>
        <r>
          <rPr>
            <sz val="10"/>
            <rFont val="Times New Roman"/>
            <family val="1"/>
          </rPr>
          <t>QĐ số 867/QĐ-UBND ngày 14/7/2021</t>
        </r>
        <r>
          <rPr>
            <sz val="9"/>
            <rFont val="Tahoma"/>
            <family val="2"/>
          </rPr>
          <t xml:space="preserve">
</t>
        </r>
      </text>
    </comment>
    <comment ref="G99" authorId="0">
      <text>
        <r>
          <rPr>
            <sz val="10"/>
            <rFont val="Times New Roman"/>
            <family val="1"/>
          </rPr>
          <t>QĐ số 918/QĐ-UBND ngày 21/7/2021</t>
        </r>
        <r>
          <rPr>
            <sz val="9"/>
            <rFont val="Tahoma"/>
            <family val="2"/>
          </rPr>
          <t xml:space="preserve">
</t>
        </r>
      </text>
    </comment>
    <comment ref="G100" authorId="0">
      <text>
        <r>
          <rPr>
            <sz val="11"/>
            <rFont val="Times New Roman"/>
            <family val="1"/>
          </rPr>
          <t>QĐ số 922/QĐ-UBND ngày 21/7/2021</t>
        </r>
        <r>
          <rPr>
            <sz val="9"/>
            <rFont val="Tahoma"/>
            <family val="2"/>
          </rPr>
          <t xml:space="preserve">
</t>
        </r>
      </text>
    </comment>
    <comment ref="G111" authorId="0">
      <text>
        <r>
          <rPr>
            <sz val="10"/>
            <rFont val="Times New Roman"/>
            <family val="1"/>
          </rPr>
          <t>QĐ PD số 1964/QĐ-UBND ngày 25/12/202</t>
        </r>
        <r>
          <rPr>
            <b/>
            <sz val="10"/>
            <rFont val="Times New Roman"/>
            <family val="1"/>
          </rPr>
          <t>0</t>
        </r>
      </text>
    </comment>
    <comment ref="G112" authorId="0">
      <text>
        <r>
          <rPr>
            <sz val="10"/>
            <rFont val="Times New Roman"/>
            <family val="1"/>
          </rPr>
          <t>QĐ số 931/QĐ-UBND ngày 22/7/2021</t>
        </r>
        <r>
          <rPr>
            <sz val="9"/>
            <rFont val="Tahoma"/>
            <family val="2"/>
          </rPr>
          <t xml:space="preserve">
</t>
        </r>
      </text>
    </comment>
    <comment ref="G113" authorId="0">
      <text>
        <r>
          <rPr>
            <b/>
            <sz val="9"/>
            <rFont val="Tahoma"/>
            <family val="2"/>
          </rPr>
          <t>Author:</t>
        </r>
        <r>
          <rPr>
            <sz val="9"/>
            <rFont val="Tahoma"/>
            <family val="2"/>
          </rPr>
          <t xml:space="preserve">
757/QĐ-UBND, 19/7/2023</t>
        </r>
      </text>
    </comment>
    <comment ref="G114" authorId="0">
      <text>
        <r>
          <rPr>
            <sz val="11"/>
            <rFont val="Times New Roman"/>
            <family val="1"/>
          </rPr>
          <t>- QĐ số 1286/QĐ-UBND ngày 13/5/2022</t>
        </r>
      </text>
    </comment>
    <comment ref="G115" authorId="0">
      <text>
        <r>
          <rPr>
            <b/>
            <sz val="9"/>
            <rFont val="Tahoma"/>
            <family val="2"/>
          </rPr>
          <t>Author:</t>
        </r>
        <r>
          <rPr>
            <sz val="9"/>
            <rFont val="Tahoma"/>
            <family val="2"/>
          </rPr>
          <t xml:space="preserve">
1179/QĐ-UBND, 19/8/2022</t>
        </r>
      </text>
    </comment>
    <comment ref="G116" authorId="0">
      <text>
        <r>
          <rPr>
            <sz val="11"/>
            <rFont val="Times New Roman"/>
            <family val="1"/>
          </rPr>
          <t>QĐ số 1398/QĐ-UBND ngày 14/9/2021</t>
        </r>
        <r>
          <rPr>
            <sz val="9"/>
            <rFont val="Tahoma"/>
            <family val="2"/>
          </rPr>
          <t xml:space="preserve">
</t>
        </r>
      </text>
    </comment>
    <comment ref="G120" authorId="0">
      <text>
        <r>
          <rPr>
            <sz val="10"/>
            <rFont val=".VnArial Narrow"/>
            <family val="2"/>
          </rPr>
          <t>QĐPD số 1771/QĐ-UBND ngày 24/12/2015</t>
        </r>
        <r>
          <rPr>
            <sz val="8"/>
            <rFont val="Tahoma"/>
            <family val="2"/>
          </rPr>
          <t xml:space="preserve">
</t>
        </r>
      </text>
    </comment>
    <comment ref="G121" authorId="0">
      <text>
        <r>
          <rPr>
            <sz val="10"/>
            <rFont val=".VnArial Narrow"/>
            <family val="2"/>
          </rPr>
          <t>- Q@Đ số 1500/QĐ-UBND ngày 26/10/2016: 45.000 trđ</t>
        </r>
      </text>
    </comment>
    <comment ref="G122" authorId="0">
      <text>
        <r>
          <rPr>
            <sz val="10"/>
            <rFont val="Times New Roman"/>
            <family val="1"/>
          </rPr>
          <t>- QĐ số 245/QĐ-UBND ngày 18/3/2022</t>
        </r>
      </text>
    </comment>
    <comment ref="G124" authorId="0">
      <text>
        <r>
          <rPr>
            <sz val="11"/>
            <rFont val="Times New Roman"/>
            <family val="1"/>
          </rPr>
          <t>QĐPD số 1135/QĐ-UBND ngày 20/8/2020</t>
        </r>
      </text>
    </comment>
    <comment ref="G129" authorId="0">
      <text>
        <r>
          <rPr>
            <b/>
            <sz val="9"/>
            <rFont val="Tahoma"/>
            <family val="2"/>
          </rPr>
          <t>Author:</t>
        </r>
        <r>
          <rPr>
            <sz val="9"/>
            <rFont val="Tahoma"/>
            <family val="2"/>
          </rPr>
          <t xml:space="preserve">
80/QĐ-UBND
15/3/2019;
85/QĐ-UBND
21/3/2019;
346/QĐ-UBND
30/9/2019</t>
        </r>
      </text>
    </comment>
    <comment ref="G130" authorId="0">
      <text>
        <r>
          <rPr>
            <sz val="10"/>
            <rFont val="Times New Roman"/>
            <family val="1"/>
          </rPr>
          <t>- số 1395/QĐ-UBND ngày 14/9/2021</t>
        </r>
      </text>
    </comment>
    <comment ref="G138" authorId="0">
      <text>
        <r>
          <rPr>
            <sz val="8"/>
            <rFont val="Times New Roman"/>
            <family val="1"/>
          </rPr>
          <t>- QĐ số 1468/QĐ-UBND ngày 30/10/2015: 454.222,4 trđ</t>
        </r>
        <r>
          <rPr>
            <sz val="8"/>
            <rFont val="Tahoma"/>
            <family val="2"/>
          </rPr>
          <t xml:space="preserve">
 - QĐ số 1310/QĐ-UBND ngày 13/11/2017: 950.097,234 trđ</t>
        </r>
      </text>
    </comment>
    <comment ref="G141" authorId="0">
      <text>
        <r>
          <rPr>
            <sz val="9"/>
            <rFont val="Tahoma"/>
            <family val="2"/>
          </rPr>
          <t xml:space="preserve">QĐ số 1529/QĐ-UBND ngày 28/10/2016 </t>
        </r>
      </text>
    </comment>
    <comment ref="G142" authorId="0">
      <text>
        <r>
          <rPr>
            <sz val="9"/>
            <rFont val="Tahoma"/>
            <family val="2"/>
          </rPr>
          <t xml:space="preserve">QĐ số 1528/QĐ-UBND ngày 28/10/2016 </t>
        </r>
      </text>
    </comment>
    <comment ref="G144" authorId="0">
      <text>
        <r>
          <rPr>
            <sz val="10"/>
            <rFont val="Times New Roman"/>
            <family val="1"/>
          </rPr>
          <t>QĐ số 703/QĐ-UBND ngày 28/6/2021</t>
        </r>
        <r>
          <rPr>
            <sz val="9"/>
            <rFont val="Tahoma"/>
            <family val="2"/>
          </rPr>
          <t xml:space="preserve">
</t>
        </r>
      </text>
    </comment>
    <comment ref="G145" authorId="0">
      <text>
        <r>
          <rPr>
            <sz val="11"/>
            <rFont val="Times New Roman"/>
            <family val="1"/>
          </rPr>
          <t>QĐ số 1562/QĐ-UBND ngày 14/10/2021: 14.990trđ</t>
        </r>
        <r>
          <rPr>
            <sz val="9"/>
            <rFont val="Tahoma"/>
            <family val="2"/>
          </rPr>
          <t xml:space="preserve">
</t>
        </r>
      </text>
    </comment>
    <comment ref="G147" authorId="0">
      <text>
        <r>
          <rPr>
            <sz val="10"/>
            <rFont val="Times New Roman"/>
            <family val="1"/>
          </rPr>
          <t>QĐ số 640/QĐ-UBND ngày 14/6/2021</t>
        </r>
        <r>
          <rPr>
            <sz val="9"/>
            <rFont val="Tahoma"/>
            <family val="2"/>
          </rPr>
          <t xml:space="preserve">
</t>
        </r>
      </text>
    </comment>
    <comment ref="G152" authorId="0">
      <text>
        <r>
          <rPr>
            <sz val="10"/>
            <rFont val="Times New Roman"/>
            <family val="1"/>
          </rPr>
          <t>QĐ số 487/QĐ-UBND ngày 18/5/2021</t>
        </r>
      </text>
    </comment>
    <comment ref="G153" authorId="0">
      <text>
        <r>
          <rPr>
            <sz val="10"/>
            <rFont val="Times New Roman"/>
            <family val="1"/>
          </rPr>
          <t>QĐ số 930/QĐ-UBND ngày 22/7/2021</t>
        </r>
        <r>
          <rPr>
            <sz val="9"/>
            <rFont val="Tahoma"/>
            <family val="2"/>
          </rPr>
          <t xml:space="preserve">
</t>
        </r>
      </text>
    </comment>
    <comment ref="G154" authorId="0">
      <text>
        <r>
          <rPr>
            <sz val="10"/>
            <rFont val="Times New Roman"/>
            <family val="1"/>
          </rPr>
          <t>QĐ số 931/QĐ-UBND ngày 22/7/2021</t>
        </r>
        <r>
          <rPr>
            <sz val="9"/>
            <rFont val="Tahoma"/>
            <family val="2"/>
          </rPr>
          <t xml:space="preserve">
</t>
        </r>
      </text>
    </comment>
    <comment ref="G156" authorId="0">
      <text>
        <r>
          <rPr>
            <sz val="11"/>
            <rFont val="Times New Roman"/>
            <family val="1"/>
          </rPr>
          <t>- QĐ số 449/QĐ-UBND ngày 22/4/2022</t>
        </r>
      </text>
    </comment>
    <comment ref="G157" authorId="0">
      <text>
        <r>
          <rPr>
            <b/>
            <sz val="9"/>
            <rFont val="Tahoma"/>
            <family val="2"/>
          </rPr>
          <t xml:space="preserve">QĐ số </t>
        </r>
        <r>
          <rPr>
            <b/>
            <sz val="9"/>
            <rFont val="Times New Roman"/>
            <family val="1"/>
          </rPr>
          <t>1432/QĐ-UBND ngày 04/10/2022</t>
        </r>
      </text>
    </comment>
    <comment ref="G160" authorId="0">
      <text>
        <r>
          <rPr>
            <sz val="10"/>
            <rFont val="Times New Roman"/>
            <family val="1"/>
          </rPr>
          <t>- QĐ số 1190/QĐ-UBND ngày 30/10/2019</t>
        </r>
      </text>
    </comment>
    <comment ref="G164" authorId="0">
      <text>
        <r>
          <rPr>
            <sz val="10"/>
            <rFont val=".VnArial Narrow"/>
            <family val="2"/>
          </rPr>
          <t xml:space="preserve">
- Q@Đ số 1542/QĐ-UBND ngày 29/10/2016</t>
        </r>
      </text>
    </comment>
    <comment ref="G173" authorId="0">
      <text>
        <r>
          <rPr>
            <sz val="12"/>
            <rFont val="Times New Roman"/>
            <family val="1"/>
          </rPr>
          <t>- QĐ số 567/QĐ-UBND ngày 22/5/2022</t>
        </r>
      </text>
    </comment>
    <comment ref="G179" authorId="0">
      <text>
        <r>
          <rPr>
            <sz val="11"/>
            <rFont val="Times New Roman"/>
            <family val="1"/>
          </rPr>
          <t>- QĐ số 424/QĐ-UBND ngày 18/4/2022</t>
        </r>
      </text>
    </comment>
    <comment ref="G180" authorId="0">
      <text>
        <r>
          <rPr>
            <sz val="11"/>
            <rFont val="Times New Roman"/>
            <family val="1"/>
          </rPr>
          <t>- QĐ số 710/QĐ-UBND ngày 17/6/2022</t>
        </r>
      </text>
    </comment>
    <comment ref="G183" authorId="0">
      <text>
        <r>
          <rPr>
            <b/>
            <sz val="9"/>
            <rFont val="Tahoma"/>
            <family val="2"/>
          </rPr>
          <t>Author:</t>
        </r>
        <r>
          <rPr>
            <sz val="9"/>
            <rFont val="Tahoma"/>
            <family val="2"/>
          </rPr>
          <t xml:space="preserve">
1436/QĐ-UBND, 05/10/2022</t>
        </r>
      </text>
    </comment>
    <comment ref="G359" authorId="0">
      <text>
        <r>
          <rPr>
            <b/>
            <sz val="9"/>
            <rFont val="Tahoma"/>
            <family val="2"/>
          </rPr>
          <t>Author:</t>
        </r>
        <r>
          <rPr>
            <sz val="9"/>
            <rFont val="Tahoma"/>
            <family val="2"/>
          </rPr>
          <t xml:space="preserve">
403/QĐ-UBND, 24/10/2023</t>
        </r>
      </text>
    </comment>
    <comment ref="G361" authorId="0">
      <text>
        <r>
          <rPr>
            <b/>
            <sz val="9"/>
            <rFont val="Tahoma"/>
            <family val="2"/>
          </rPr>
          <t>Author:</t>
        </r>
        <r>
          <rPr>
            <sz val="9"/>
            <rFont val="Tahoma"/>
            <family val="2"/>
          </rPr>
          <t xml:space="preserve">
256/QĐ-UBND, 25/4/2022</t>
        </r>
      </text>
    </comment>
    <comment ref="O144" authorId="0">
      <text>
        <r>
          <rPr>
            <sz val="9"/>
            <rFont val="Tahoma"/>
            <family val="2"/>
          </rPr>
          <t xml:space="preserve">Năm 2020: 10 tỷ đồng; nguồn dự phòng NSTW
</t>
        </r>
      </text>
    </comment>
    <comment ref="O145" authorId="0">
      <text>
        <r>
          <rPr>
            <sz val="9"/>
            <rFont val="Tahoma"/>
            <family val="2"/>
          </rPr>
          <t xml:space="preserve">Năm 2020: 50 tỷ đồng; nguồn dự phòng NSTW
</t>
        </r>
      </text>
    </comment>
  </commentList>
</comments>
</file>

<file path=xl/sharedStrings.xml><?xml version="1.0" encoding="utf-8"?>
<sst xmlns="http://schemas.openxmlformats.org/spreadsheetml/2006/main" count="1085" uniqueCount="609">
  <si>
    <t>Đơn vị: Triệu đồng</t>
  </si>
  <si>
    <t>STT</t>
  </si>
  <si>
    <t>I</t>
  </si>
  <si>
    <t>II</t>
  </si>
  <si>
    <t>Tổng số</t>
  </si>
  <si>
    <t>Danh mục dự án</t>
  </si>
  <si>
    <t>Địa điểm xây dựng</t>
  </si>
  <si>
    <t>Năng lực thiết kế</t>
  </si>
  <si>
    <t>Thời gian khởi công - hoàn thành</t>
  </si>
  <si>
    <t>Quyết định đầu tư</t>
  </si>
  <si>
    <t>Số Quyết định, ngày, tháng, năm ban hành</t>
  </si>
  <si>
    <t>Tổng mức đầu tư được duyệt</t>
  </si>
  <si>
    <t>Chia theo nguồn vốn</t>
  </si>
  <si>
    <t>Ngoài nước</t>
  </si>
  <si>
    <t>Ngân sách trung ương</t>
  </si>
  <si>
    <t>Biểu số 58/CK-NSNN</t>
  </si>
  <si>
    <t>UBND TỈNH TUYÊN QUANG</t>
  </si>
  <si>
    <r>
      <t>Tổng số</t>
    </r>
    <r>
      <rPr>
        <sz val="11"/>
        <rFont val="Times New Roman"/>
        <family val="1"/>
      </rPr>
      <t xml:space="preserve"> (tất cả các nguồn vốn)</t>
    </r>
  </si>
  <si>
    <t>Nguồn NSĐP và nguồn thu sự nghiệp và các nguồn khác</t>
  </si>
  <si>
    <t>2021-2024</t>
  </si>
  <si>
    <t>2021-2025</t>
  </si>
  <si>
    <t>III</t>
  </si>
  <si>
    <t>Dự án di dân khẩn cấp tại xóm Dùm, phường Nông Tiến, Thành phố Tuyên Quang</t>
  </si>
  <si>
    <t>Dự án Nhà làm việc, trung tâm kỹ thuật và nhà studio của Đài Phát thanh và Truyền hình tỉnh Tuyên Quang</t>
  </si>
  <si>
    <t>IV</t>
  </si>
  <si>
    <t>Trụ sở làm việc của Huyện ủy và khối dân, huyện Chiêm Hóa</t>
  </si>
  <si>
    <t>Xây dựng Nhà làm việc của Báo Tuyên Quang</t>
  </si>
  <si>
    <t>Xây dựng trụ sở Ban Tiếp công dân tỉnh Tuyên Quang</t>
  </si>
  <si>
    <t>Trụ sở UBND xã Vĩnh Lợi, huyện Sơn Dương</t>
  </si>
  <si>
    <t>Trụ sở UBND xã Trung Yên, huyện Sơn Dương</t>
  </si>
  <si>
    <t>Trụ sở UBND xã Bạch Xa, huyên Hàm Yên</t>
  </si>
  <si>
    <t xml:space="preserve">Trụ sở UBND xã Thành Long, huyện Hàm Yên </t>
  </si>
  <si>
    <t>V</t>
  </si>
  <si>
    <t>VI</t>
  </si>
  <si>
    <t>VII</t>
  </si>
  <si>
    <t>HỖ TRỢ KIÊN CỐ HÓA KÊNH MƯƠNG (THỰC HIỆN NGHỊ QUYẾT SỐ 09/NQ-HĐND NGÀY 15/12/2020 CỦA HĐND TỈNH)</t>
  </si>
  <si>
    <t>Cầu trên đường GTNT</t>
  </si>
  <si>
    <t>Quy hoạch tỉnh Tuyên Quang thời kỳ 2021-2020 tầm nhìn đến năm 2050</t>
  </si>
  <si>
    <t>CÔNG TRÌNH CHUYỂN TIẾP</t>
  </si>
  <si>
    <t>Xây dựng hạ tầng khu vực bến thủy vùng lòng hồ thủy điện Tuyên Quang và cải tạo, nâng cấp tuyến đường từ cầu Ba Đạo đi qua Hang Khào đến bến thủy lòng hồ thủy điện Tuyên Quang, huyện Na Hang.</t>
  </si>
  <si>
    <t xml:space="preserve">Dự án Chương trình phát triển khu vực nông thôn tỉnh Tuyên Quang </t>
  </si>
  <si>
    <t xml:space="preserve">Dự án đầu tư xây dựng đường cao tốc Tuyên Quang - Phú Thọ kết nối với cao tốc Nội Bài - Lào Cai </t>
  </si>
  <si>
    <t>Cải tạo, sửa chữa tuyến đường ĐH.04 đoạn từ Quốc lộ 279 đến Trung tâm xã Hồng Thái, huyện Na Hang</t>
  </si>
  <si>
    <t xml:space="preserve">CHUẨN BỊ ĐẦU TƯ </t>
  </si>
  <si>
    <t>Dự án cầu qua Sông Lô Gâm và đường dẫn cầu từ trung tâm thị trấn Yên Sơn đi xã Tân Long nối với Quốc lộ 2C (giai đoạn 1, 2021-2025 đầu tư xây dựng đường dẫn cầu dài 6 Km)</t>
  </si>
  <si>
    <t>Xây dựng cầu và tuyến đường từ ngã 3 Tân Phúc thị trấn Sơn Dương đi qua các thôn: Tân Hòa, Phúc Hòa và Phúc ứng, tổ dân phố Bắc Hoàng, thị trấn  Sơn Dương đến tổ dân phố Làng Cả thị trấn Sơn Dương đấu nối với đường ĐT.185</t>
  </si>
  <si>
    <t>Đường Yên Phú đi Yên Lâm, huyện Hàm Yên, tỉnh Tuyên Quang</t>
  </si>
  <si>
    <t>Dự án Phát triển cơ sở hạ tầng thích ứng biến đổi khí hậu để hỗ trợ sản xuất cho đồng bào  dân tộc các tỉnh Miền núi, Trung du phía Bắc tỉnh Tuyên Quang</t>
  </si>
  <si>
    <t>Bệnh viện phục hồi chức năng Hương Sen, tỉnh Tuyên Quang (địa điểm mới)</t>
  </si>
  <si>
    <t>Cải tạo, nâng cấp Trường Tiểu học và THCS Lê Văn Hiến tại xã Tú Thịnh, huyện Sơn Dương</t>
  </si>
  <si>
    <t>Xây dựng và sửa chữa Trường THPT Trung Sơn, huyện Yên Sơn.</t>
  </si>
  <si>
    <t>Đầu tư xây dựng Nhà công vụ Bộ Chỉ huy quân sự tỉnh</t>
  </si>
  <si>
    <t>Đầu tư xây dựng Cơ sở làm việc phòng Cảnh sát phòng cháy, chữa cháy và cứu nạn, cứu hộ, tại địa điểm mới</t>
  </si>
  <si>
    <t>Cải tạo, nâng cấp trường chính trị tỉnh Tuyên Quang</t>
  </si>
  <si>
    <t>Sửa chữa, cải tạo nhà làm việc của Sở Giáo dục và Đào tạo tỉnh Tuyên Quang</t>
  </si>
  <si>
    <t>Dự án di dân khẩn cấp ra khỏi vùng lũ quét, lũ ống, sạt lở đất rừng phòng hộ đầu nguồn tại thôn Ngòi Cái, xã Tiến Bộ, huyện Yên Sơn</t>
  </si>
  <si>
    <t>Dự án đầu tư di dân khẩn cấp ra khỏi vùng thiên tai nguy hiểm, đặc biệt khó khăn thôn Khâu Tinh, Tát Kẻ xã Khâu Tinh, huyện Na Hang, tỉnh Tuyên Quang</t>
  </si>
  <si>
    <t>Dự án bảo quản, tu bổ, phục hồi và phát huy giá trị Di tích lịch sử quốc gia đặc biệt Tân Trào, tỉnh Tuyên Quang gắn với phát triển du lịch đến năm 2025</t>
  </si>
  <si>
    <t>CHƯƠNG TRÌNH MỤC TIÊU QUỐC GIA</t>
  </si>
  <si>
    <t>2020-2021</t>
  </si>
  <si>
    <t>2016-2020</t>
  </si>
  <si>
    <t>2018-2022</t>
  </si>
  <si>
    <t>2021-2023</t>
  </si>
  <si>
    <t>2019-2023</t>
  </si>
  <si>
    <t>2022-2023</t>
  </si>
  <si>
    <t>2022-2024</t>
  </si>
  <si>
    <t>2020-2024</t>
  </si>
  <si>
    <t>TỔNG CỘNG</t>
  </si>
  <si>
    <t>A</t>
  </si>
  <si>
    <t>ĐỀ ÁN BÊ TÔNG HÓA ĐƯỜNG GTNT VÀ XÂY DỰNG CẦU TRÊN ĐƯỜNG GTNT GIAI ĐOẠN 2021-2025</t>
  </si>
  <si>
    <t>Lập Quy hoạch chung đô thị mới trên địa bàn tỉnh</t>
  </si>
  <si>
    <t xml:space="preserve">Dự án Khẩn cấp di dân ra khỏi vùng thiên tai nguy hiểm, đặc biệt khó khăn thôn Bản Bung, xã Thanh Tương, huyện Na Hang </t>
  </si>
  <si>
    <t>Xây dựng đường giao thông từ Trường Tiểu Học xã Khuôn Hà đến đèo Kéo Ráo thôn Nà Vàng, xã Khuôn Hà, huyện Lâm Bình</t>
  </si>
  <si>
    <t>Dự án đầu tư xây dựng đường từ trung tâm thành phố Tuyên Quang (Quốc lộ 2 đoạn tránh thành phố Tuyên Quang) đi khu du lịch suối khoáng Mỹ Lâm, phường Mỹ Lâm, TPTQ</t>
  </si>
  <si>
    <t>VỐN NSĐP ĐỐI ỨNG GPMB - DỰ ÁN THÀNH PHẦN SỐ 4, XỬ LÝ SẠT LỞ CẤP BÁCH SÔNG, SUỐI TỈNH TUYÊN QUANG THUỘC DỰ ÁN XỬ LÝ SẠT LỞ CẤP BÁCH SÔNG, SUỐI MỘT SỐ TỈNH MNPB</t>
  </si>
  <si>
    <t>B</t>
  </si>
  <si>
    <t>2023</t>
  </si>
  <si>
    <t>2023-2024</t>
  </si>
  <si>
    <t>2019-2022</t>
  </si>
  <si>
    <t>Đề án ứng dụng và phát triển công nghệ thông tin nâng cao hiệu quả quản lý hoạt động cho hệ thống chính trị trên địa bàn tỉnh Tuyên Quang, giai đoạn 2020-2025; trong đó:</t>
  </si>
  <si>
    <t>Mở rộng Quảng trường Nguyễn Tất Thành, thành phố Tuyên Quang (Giai đoạn 2); Năm 2023 bố trí vốn để lập quy hoạch mở rộng Quảng trường Nguyễn Tất Thành (giai đoạn 2)</t>
  </si>
  <si>
    <t>Xây dựng Trung tâm điều dưỡng người có công tỉnh Tuyên Quang (Năm 2023, bố trí vốn đầu tư để thực hiện công tác bồi thường, GPMB)</t>
  </si>
  <si>
    <t>DANH MỤC CÁC CHƯƠNG TRÌNH, DỰ ÁN SỬ DỤNG VỐN NGÂN SÁCH NHÀ NƯỚC NĂM 2024</t>
  </si>
  <si>
    <t>Giá trị khối lượng thực hiện từ khởi công đến 31/12/2023</t>
  </si>
  <si>
    <t>Lũy kế vốn đã bố trí đến 31/12/2023</t>
  </si>
  <si>
    <t>Kế hoạch vốn năm 2024</t>
  </si>
  <si>
    <t xml:space="preserve">VỐN PC CHO CÁC HUYỆN, THÀNH PHỐ QUẢN LÝ </t>
  </si>
  <si>
    <t>I.1</t>
  </si>
  <si>
    <t xml:space="preserve">CHI XÂY DỰNG CƠ BẢN VỐN TẬP TRUNG TRONG NƯỚC </t>
  </si>
  <si>
    <t>1</t>
  </si>
  <si>
    <t>Huyện Na Hang</t>
  </si>
  <si>
    <t>2</t>
  </si>
  <si>
    <t>Huyện Lâm Bình</t>
  </si>
  <si>
    <t>3</t>
  </si>
  <si>
    <t>Huyện Chiêm Hoá</t>
  </si>
  <si>
    <t>4</t>
  </si>
  <si>
    <t>Huyện Hàm Yên</t>
  </si>
  <si>
    <t>5</t>
  </si>
  <si>
    <t>Huyện Yên Sơn</t>
  </si>
  <si>
    <t>6</t>
  </si>
  <si>
    <t>Huyện Sơn Dương</t>
  </si>
  <si>
    <t>7</t>
  </si>
  <si>
    <t>Thành phố Tuyên Quang</t>
  </si>
  <si>
    <t>I.2</t>
  </si>
  <si>
    <t>VỐN ĐẦU TƯ TỪ NGUỒN THU TIỀN SỬ DỤNG ĐẤT</t>
  </si>
  <si>
    <t>Trong đó:</t>
  </si>
  <si>
    <t>-</t>
  </si>
  <si>
    <t xml:space="preserve">Chi trả nợ gốc và lãi từ nguồn thu tiền sử dụng đất của thành phố Tuyên Quang </t>
  </si>
  <si>
    <t>CHI TRẢ NỢ GỐC KHOẢN VAY LẠI CỦA NGÂN SÁCH CẤP TỈNH</t>
  </si>
  <si>
    <t>CHI TRẢ NỢ LÃI VAY CỦA NGÂN SÁCH CẤP TỈNH</t>
  </si>
  <si>
    <t>Đường thôn và đường nội đồng</t>
  </si>
  <si>
    <t>CÔNG TRÌNH DỰ KIẾN HOÀN THÀNH, BÀN GIAO ĐƯA VÀO SỬ DỤNG TRƯỚC NGÀY 31/12/2023</t>
  </si>
  <si>
    <t>V.1</t>
  </si>
  <si>
    <t>Công trình đã phê duyệt quyết toán</t>
  </si>
  <si>
    <t>Trụ sở UBND xã Bình Yên, huyện Sơn Dương</t>
  </si>
  <si>
    <t>Dự án xây dựng cầu Tình Húc vượt sông Lô, thành phố Tuyên Quang, tỉnh Tuyên Quang</t>
  </si>
  <si>
    <t>Xây dựng trường PTDT bán trú THCS Sinh Long và các hạng mục phục trợ, huyện Na Hang</t>
  </si>
  <si>
    <t>8</t>
  </si>
  <si>
    <t>Quy hoạch và San nền trường PTDT bán trú THCS Thượng Nông ở địa điểm mới</t>
  </si>
  <si>
    <t>9</t>
  </si>
  <si>
    <t>Kè suối Nặm Mường xã Côn Lôn</t>
  </si>
  <si>
    <t>10</t>
  </si>
  <si>
    <t>Nhà lớp học Trường PTDT nội trú huyện Na Hang và các hạng mục phụ trợ</t>
  </si>
  <si>
    <t>11</t>
  </si>
  <si>
    <t>Sửa chữa, nâng cấp Trụ sở Đảng ủy, HĐND và UBND xã Thượng Giáp</t>
  </si>
  <si>
    <t>12</t>
  </si>
  <si>
    <t>Xây dựng Trường PTDT bán trú Tiểu học và THCS Thượng Nông</t>
  </si>
  <si>
    <t>13</t>
  </si>
  <si>
    <t>Nhà ở bán trú học sinh Trường PTDT bán trú Tiểu học và THCS Thượng Nông</t>
  </si>
  <si>
    <t>14</t>
  </si>
  <si>
    <t>Nâng cấp, cải tạo cổng chính Bộ CHQS tỉnh</t>
  </si>
  <si>
    <t>V.2</t>
  </si>
  <si>
    <t xml:space="preserve">Công trình chưa phê duyệt quyết toán </t>
  </si>
  <si>
    <t>Đầu tư xây dựng đường trục phát triển đô thị từ thành phố Tuyên Quang đi trung tâm huyện Yên Sơn (Km14QL2 Tuyên Quang - Hà Giang)</t>
  </si>
  <si>
    <t>Xây dựng căn cứ chiến đấu giả định trong diễn tập KVPT tỉnh Tuyên Quang năm 2023</t>
  </si>
  <si>
    <t>Kho bảo quản vật chứng là vũ khí, vật liệu nổ</t>
  </si>
  <si>
    <t>Xây dựng Trung tâm ứng dụng tiến bộ khoa học và công nghệ tỉnh Tuyên Quang</t>
  </si>
  <si>
    <t>Xây dựng Khoa Dân tộc nội trú Trường Cao đẳng nghề kỹ thuật - công nghệ Tuyên Quang (Hạng mục Nhà ký túc xá học sinh - sinh viên (I-9), nhà ăn và các hạng mục phụ trợ)</t>
  </si>
  <si>
    <t>Cải tạo, Sửa chữa trụ sở làm việc của Sở Y tế</t>
  </si>
  <si>
    <t>15</t>
  </si>
  <si>
    <t>Công trình phát huy giá trị di tích tại khu Di tích lịch sử quốc gia đặc biệt Tân Trào, huyện Sơn Dương (năm 2020 Xây dựng khu đón tiếp khách)</t>
  </si>
  <si>
    <t>16</t>
  </si>
  <si>
    <t xml:space="preserve">Cải tạo, nâng cấp Quảng trường Tân Trào </t>
  </si>
  <si>
    <t>17</t>
  </si>
  <si>
    <t>Khu tưởng niệm các vị tiền bối cách mạng</t>
  </si>
  <si>
    <t>18</t>
  </si>
  <si>
    <t xml:space="preserve">Xây dựng Bảo tàng Tân Trào và Phòng chiếu phim </t>
  </si>
  <si>
    <t>19</t>
  </si>
  <si>
    <t>20</t>
  </si>
  <si>
    <t>Dự án đầu tư ứng dụng Công nghệ thông tin tỉnh tuyên quang tiến tới cuộc cách mạng 4.0, giai đoạn 2021 – 2025.</t>
  </si>
  <si>
    <t>21</t>
  </si>
  <si>
    <t>ĐTXD cơ sở Hạ tầng Khu du lịch sinh thái Na Hang</t>
  </si>
  <si>
    <t>22</t>
  </si>
  <si>
    <t xml:space="preserve">HOÀN TRẢ ỨNG TRƯỚC KẾ HOẠCH VỐN </t>
  </si>
  <si>
    <t>VII.1</t>
  </si>
  <si>
    <t>CÔNG TRÌNH DỰ KIẾN HOÀN THÀNH NĂM 2024</t>
  </si>
  <si>
    <t>VII.1.1</t>
  </si>
  <si>
    <t>Công nghiệp</t>
  </si>
  <si>
    <t xml:space="preserve">Dự án cấp điện nông thôn từ lưới điện Quốc gia tỉnh Tuyên Quang giai đoạn 2013 -2020 </t>
  </si>
  <si>
    <t>Ưu tiên đầu tư công trình cấp điện cho thôn chưa có điện lưới Quốc gia: Công trình đường dây và trạm biến áp cấp điện cho xã Trung Minh, huyện Yên Sơn</t>
  </si>
  <si>
    <t>VII.1.2</t>
  </si>
  <si>
    <t>Nông, lâm nghiệp, thủy lợi</t>
  </si>
  <si>
    <t>Kè chống sạt lở bờ suối xã Côn Lôn, huyện Na Hang</t>
  </si>
  <si>
    <t>VII.1.3</t>
  </si>
  <si>
    <t>Giao thông</t>
  </si>
  <si>
    <t>Cải tạo nâng cấp đường Phúc Thịnh - Trung Hà - Bản Ba, huyện Chiêm Hóa, tỉnh Tuyên Quang (bố trí thanh toán khối lượng hoàn thành giai đoạn 1).</t>
  </si>
  <si>
    <t>Bố trí thanh toán khối lượng hoàn thành giai đoạn1</t>
  </si>
  <si>
    <t>Bố trí vốn thực hiện giai đoạn 2 dự án Cải tạo nâng cấp đường Phúc Thịnh - Trung Hà - Bản Ba, huyện Chiêm Hóa, tỉnh Tuyên Quang (bố trí thanh toán khối lượng hoàn thành giai đoạn 2).</t>
  </si>
  <si>
    <t>VII.1.4</t>
  </si>
  <si>
    <t>Quản lý Nhà nước</t>
  </si>
  <si>
    <t>VII.1.5</t>
  </si>
  <si>
    <t>Giáo dục - Đào tạo</t>
  </si>
  <si>
    <t>Xây dựng Trường THPT Chuyên Tuyên Quang tại địa điểm mới</t>
  </si>
  <si>
    <t>VII.1.6</t>
  </si>
  <si>
    <t xml:space="preserve">Văn hóa - Xã hội </t>
  </si>
  <si>
    <t>Xây dựng cổng, trạm gác bảo vệ, hàng rào và thiết bị nội thất các phòng làm việc của Đài Phát thành và Truyền hình tỉnh</t>
  </si>
  <si>
    <t>Quy hoạch bảo quản tu bổ phát huy giá trị danh lam thắng cảnh Quốc gia đặc biệt Khu bảo tồn thiên nhiên Na Hang- Lâm Bình</t>
  </si>
  <si>
    <t>Tu bổ, nâng cấp nghĩa trang liệt sỹ huyện Hàm Yên</t>
  </si>
  <si>
    <t xml:space="preserve">Xây dựng đường giao thông từ thôn Nà Vàng, xã Khuôn Hà ra bến thủy hồ thủy điện Tuyên Quang thuộc Dự án đầu tư cơ sở hạ tầng Khu du lịch sinh thái thuộc huyện Lâm Bình </t>
  </si>
  <si>
    <t>VII.1.7</t>
  </si>
  <si>
    <t>Công nghệ thông tin</t>
  </si>
  <si>
    <t xml:space="preserve"> - Dự án triển khai mở rộng hệ thống hội nghị giao ban điện tử tỉnh Tuyên Quang đến cấp xã</t>
  </si>
  <si>
    <t xml:space="preserve"> - Xây dựng Nền tảng chính quyền số tỉnh Tuyên Quang.</t>
  </si>
  <si>
    <t xml:space="preserve"> - Nâng cấp hạ tầng Trung tâm tích hợp dữ liệu tỉnh TQ</t>
  </si>
  <si>
    <t>VII.2</t>
  </si>
  <si>
    <t>CÔNG TRÌNH DỰ KIẾN HOÀN THÀNH SAU NĂM 2024</t>
  </si>
  <si>
    <t>VII.2.1</t>
  </si>
  <si>
    <t>Giao thông - đô thị</t>
  </si>
  <si>
    <t>Đầu tư xây dựng đường cao tốc Tuyên Quang - Hà Giang, giai đoạn 1 - đoạn qua tỉnh Tuyên Quang</t>
  </si>
  <si>
    <t>Đường giao thông nông thôn vào vùng sản xuất nông nghiệp tập trung kết hợp phát triển du lịch sinh thái thôn Bản Bung, xã Thanh Tương, huyện Na Hang, tỉnh Tuyên Quang.</t>
  </si>
  <si>
    <t>VII.2.2</t>
  </si>
  <si>
    <t>Cải tạo nâng cấp nhà khách Kim Bình, Văn phòng Tỉnh ủy</t>
  </si>
  <si>
    <t>Cải tạo, nâng cấp Trung tâm huấn luyện dự bị động viên tỉnh Tuyên Quang</t>
  </si>
  <si>
    <t>VII.2.3</t>
  </si>
  <si>
    <t>Xây dựng Trường phổ thông Dân tộc nội trú THCS và THPT huyện Na Hang</t>
  </si>
  <si>
    <t>Cải tạo, sửa chữa, nâng cấp trường Trung học phổ thông  Dân tộc nội trú tỉnh Tuyên Quang</t>
  </si>
  <si>
    <t>VII.2.4</t>
  </si>
  <si>
    <t>Y tế</t>
  </si>
  <si>
    <t>Dự án Bệnh viện Suối khoáng Mỹ Lâm, thành phố Tuyên Quang, tỉnh Tuyên Quang</t>
  </si>
  <si>
    <t>Sửa chữa, cải tạo nhà điều trị 3 tầng, Nhà khám chữa bệnh 3 tầng thuộc Trung tâm y tế huyện Na Hang</t>
  </si>
  <si>
    <t>VII.2.5</t>
  </si>
  <si>
    <t>Ứng dụng công nghệ thông tin trong hoạt động của các cơ quan đảng tỉnh Tuyên Quang, giai đoạn 2021-2025</t>
  </si>
  <si>
    <t>VII.2.6</t>
  </si>
  <si>
    <t>Văn hóa, xã hội</t>
  </si>
  <si>
    <t>Dự án đầu tư xây dựng Khu thể thao văn hóa và quảng trường trung tâm huyện Lâm Bình.</t>
  </si>
  <si>
    <t>VII.2.7</t>
  </si>
  <si>
    <t>Quy hoạch</t>
  </si>
  <si>
    <t>1.1</t>
  </si>
  <si>
    <t>Đồ án quy hoạch hoàn thành năm 2023</t>
  </si>
  <si>
    <t>(1)</t>
  </si>
  <si>
    <t>Lập quy hoạch chung đô thị, xã Sơn Nam, huyện Sơn Dương</t>
  </si>
  <si>
    <t>(2)</t>
  </si>
  <si>
    <t>Lập quy hoạch chung đô thị, xã Hồng Lạc, huyện Sơn Dương</t>
  </si>
  <si>
    <t>(3)</t>
  </si>
  <si>
    <t>Lập quy hoạch chung đô thị, xã Thượng Lâm, huyện Lâm Bình</t>
  </si>
  <si>
    <t>(4)</t>
  </si>
  <si>
    <t>Lập quy hoạch chung đô thị, xã Đà Vị, huyện Na Hang</t>
  </si>
  <si>
    <t>(5)</t>
  </si>
  <si>
    <t>Lập quy hoạch chung đô thị, xã Hòa Phú, huyện Chiêm Hóa</t>
  </si>
  <si>
    <t>(6)</t>
  </si>
  <si>
    <t>Lập quy hoạch chung đô thị, xã Phù Lưu, huyện Hàm Yên</t>
  </si>
  <si>
    <t>(7)</t>
  </si>
  <si>
    <t>Lập quy hoạch chung đô thị, xã Thái Sơn, huyện Hàm Yên</t>
  </si>
  <si>
    <t>(8)</t>
  </si>
  <si>
    <t>Lập quy hoạch chung đô thị, xã Mỹ Bằng, huyện Yên Sơn</t>
  </si>
  <si>
    <t>1.2</t>
  </si>
  <si>
    <t>Đồ án quy hoạch dự kiến hoàn thành năm 2024</t>
  </si>
  <si>
    <t>Lập quy hoạch chung đô thị, xã Trung Môn, huyện Yên Sơn</t>
  </si>
  <si>
    <t>Lập quy hoạch chung đô thị, xã Xuân Vân, huyện Yên Sơn</t>
  </si>
  <si>
    <t>Lập quy hoạch chung đô thị, xã Ngọc Hội, huyện Chiêm Hóa</t>
  </si>
  <si>
    <t>Lập quy hoạch chung đô thị, xã Tân Trào, huyện Sơn Dương</t>
  </si>
  <si>
    <t>Lập quy hoạch chung đô thị, xã Phúc Sơn, huyện Lâm Bình</t>
  </si>
  <si>
    <t>1.3</t>
  </si>
  <si>
    <t>Đồ án quy hoạch dự kiến thực hiện năm 2024</t>
  </si>
  <si>
    <t>Lập quy hoạch chung đô thị, xã Yên Hoa, huyện Na Hang</t>
  </si>
  <si>
    <t>Lập quy hoạch chung đô thị, xã Kim Bình, huyện Chiêm Hóa</t>
  </si>
  <si>
    <t>Lập quy hoạch chung đô thị, xã Trung Hà, huyện Chiêm Hóa</t>
  </si>
  <si>
    <t>Lập quy hoạch chi tiết xây dựng đô thị thuộc khu vực có ý nghĩa quan trọng trong các đô thị trên địa bàn tỉnh Tuyên Quang</t>
  </si>
  <si>
    <t>2.1</t>
  </si>
  <si>
    <t>Khu đô thị thương mại dịch vụ Trung Việt</t>
  </si>
  <si>
    <t>Khu đô thị LUXYRY PARK VIEWS</t>
  </si>
  <si>
    <t>Khu đô thị An Phú</t>
  </si>
  <si>
    <t>Khu đô thị mới Ỷ La</t>
  </si>
  <si>
    <t>Quy hoạch chi tiết xây dựng Khu nhà ở Hưng Thành</t>
  </si>
  <si>
    <t>Quy hoạch chi tiết xây dựng Khu đô thị Tân Hà</t>
  </si>
  <si>
    <t>2.2</t>
  </si>
  <si>
    <t>Đồ án quy hoạch hoàn thành năm 2024</t>
  </si>
  <si>
    <t>Khu đô thị Tân Quang City1</t>
  </si>
  <si>
    <t>Khu đô thị Tân Trào</t>
  </si>
  <si>
    <t>Chỉnh trang đô thị tổ 9 phường Ỷ La (Khu dân cư Quán Hùng)</t>
  </si>
  <si>
    <t>Khu Nhà ở Phường Ỷ La</t>
  </si>
  <si>
    <t>Khu Dân cư Tân Trào</t>
  </si>
  <si>
    <t>Chỉnh trang đô thị tổ 6 phường Nông Tiến</t>
  </si>
  <si>
    <t>Chỉnh trang đô thị tổ dân phố Tân Yên, thị trấn Tân Yên</t>
  </si>
  <si>
    <t>Khu dân cư mới tại xã Trung Môn</t>
  </si>
  <si>
    <t>(9)</t>
  </si>
  <si>
    <t>Khu đô thị Mimosa</t>
  </si>
  <si>
    <t>(10)</t>
  </si>
  <si>
    <t>Khu dân cư Lý Nhân (tên cũ: Khu đô thị Trung Môn)</t>
  </si>
  <si>
    <t>(11)</t>
  </si>
  <si>
    <t xml:space="preserve"> Khu đô thị sinh thái Sơn Dương, thị trấn Sơn Dương</t>
  </si>
  <si>
    <t>(12)</t>
  </si>
  <si>
    <t>Khu dân cư xã Trung Môn</t>
  </si>
  <si>
    <t>(13)</t>
  </si>
  <si>
    <t>Quy hoạch chung khu phức hợp đô thị nghỉ dưỡng, và dự án Sân gofl hồ ngòi Là tại các xã Chân Sơn, Trung Môn huyện Yên Sơn, xã Kim phú thành phố Tuyên Quang</t>
  </si>
  <si>
    <t>2.3</t>
  </si>
  <si>
    <t>Khu nhà ở đô thị Phương Bắc</t>
  </si>
  <si>
    <t>Chỉnh trang đô thị tổ dân phố Tân Tiến, thị trấn Tân Tiến</t>
  </si>
  <si>
    <t>Khu nhà ở dịch vụ thương mại Phú Lâm</t>
  </si>
  <si>
    <t>Khu đô thị tại xã Lưỡng Vượng, thành phố Tuyên Quang</t>
  </si>
  <si>
    <t>Khu nhà ở và dịch vụ thương mại  Ỷ La.</t>
  </si>
  <si>
    <t>Khu đô thị tại phường Ỷ La.</t>
  </si>
  <si>
    <t>Chỉnh trang đô thị tổ dân phố Cầu Mới, thị trấn Tân Yên</t>
  </si>
  <si>
    <t>VIII</t>
  </si>
  <si>
    <t>CÔNG TRÌNH KHỞI CÔNG MỚI NĂM 2024</t>
  </si>
  <si>
    <t>VIII.1</t>
  </si>
  <si>
    <t>Sửa chữa, mở rộng mặt đường tuyến ĐT.185 đoạn từ Km184+510 - Km201+250 (ngã ba Năng Khả giao với QL279, huyện Na Hang đến chân đèo Ái Âu huyện Lâm Bình)</t>
  </si>
  <si>
    <t>Dự án nâng cấp, cải tạo đường tỉnh lộ 189, đoạn từ xã Tân Thành - xã Phù Lưu, huyện Hàm Yên (khoảng 11km)</t>
  </si>
  <si>
    <t>Cải tạo, nâng cấp đường ĐH.02 từ xã Đức Ninh - Hùng Đức, huyện Hàm Yên, tỉnh Tuyên Quang.</t>
  </si>
  <si>
    <t>Cải tạo, nâng cấp đường ĐH.05 từ xã Thái Sơn - Thành Long - Bằng Cốc - Nhân Mục, huyện Hàm Yên</t>
  </si>
  <si>
    <t>Tuyến đường từ thị trấn Sơn Dương đi xã Tân Trào huyện Sơn Dương, tỉnh Tuyên Quang</t>
  </si>
  <si>
    <t>VIII.2</t>
  </si>
  <si>
    <t>Dự án Bảo tồn, tôn tạo Khu di tích lịch sử quốc gia đặc biệt Tân Trào, tỉnh Tuyên Quang</t>
  </si>
  <si>
    <t>VIII.3</t>
  </si>
  <si>
    <t>Nông nghiệp, lâm nghiệp, thủy lợi</t>
  </si>
  <si>
    <t>Xây dựng Hạt kiểm lâm Na Hang</t>
  </si>
  <si>
    <t>Xây dựng Hạt kiểm lâm Lâm Bình</t>
  </si>
  <si>
    <t>VIII.4</t>
  </si>
  <si>
    <t>Quốc phòng, an ninh</t>
  </si>
  <si>
    <t>Khảo sát địa hình + Quy hoạch chi tiết xây dựng Trụ sở làm việc Công an 116 xã, thị trấn trên địa bàn tỉnh Tuyên Quang</t>
  </si>
  <si>
    <t>VIII.5</t>
  </si>
  <si>
    <t xml:space="preserve">Vốn đối ứng NSĐP các Dự án sử dụng vốn ODA </t>
  </si>
  <si>
    <t>Tăng cường hiệu quả đầu tư và duy trì phát triển đảm bảo bền vững Dự án Chương trình phát triển khu vực nông thôn tỉnh Tuyên Quang do KOICA tài trợ</t>
  </si>
  <si>
    <t>Chương trình đầu tư phát triển mạng lưới y tế cơ sở vùng khó khăn do ADB tài trợ.</t>
  </si>
  <si>
    <t>IX</t>
  </si>
  <si>
    <t>IX.1</t>
  </si>
  <si>
    <t>Dự án Xây dựng 08 Trụ sở làm việc Công an xã trên địa bàn huyện Lâm Bình, tỉnh Tuyên Quang</t>
  </si>
  <si>
    <t>Dự án Xây dựng 11 Trụ sở làm việc Công an xã trên địa bàn huyện Na Hang, tỉnh Tuyên Quang</t>
  </si>
  <si>
    <t>Dự án Xây dựng 28 Trụ sở làm việc Công an xã trên địa bàn huyện Sơn Dương, tỉnh Tuyên Quang</t>
  </si>
  <si>
    <t>Dự án Xây dựng 04 Trụ sở làm việc Công an xã trên địa bàn thành phố Tuyên Quang, tỉnh Tuyên Quang</t>
  </si>
  <si>
    <t>Dự án Xây dựng 27 Trụ sở làm việc Công an xã trên địa bàn huyện Yên Sơn, tỉnh Tuyên Quang</t>
  </si>
  <si>
    <t>Dự án Xây dựng 15 Trụ sở làm việc Công an xã trên địa bàn huyện Hàm Yên, tỉnh Tuyên Quang</t>
  </si>
  <si>
    <t>Dự án Xây dựng 23 Trụ sở làm việc Công an xã trên địa bàn huyện Chiêm Hóa, tỉnh Tuyên Quang</t>
  </si>
  <si>
    <t>Sửa chữa nhà làm việc của Báo Tuyên Quang (địa điểm cũ)</t>
  </si>
  <si>
    <t>Sửa chữa nhà làm việc của  Đảng ủy khối các cơ quan và doanh nghiệp tỉnh</t>
  </si>
  <si>
    <t>Dự án sửa chữa Trụ sở Viện kiểm sát nhân dân tỉnh (địa điểm cũ)</t>
  </si>
  <si>
    <t>Cải tạo, sửa chữa Trung tâm Hội nghị tỉnh</t>
  </si>
  <si>
    <t>Đầu tư xây dựng Trụ sở làm việc liên cơ quan</t>
  </si>
  <si>
    <t>Đầu tư xây dựng mới khối nhà làm việc đảm bảo cơ sở vật chất làm việc cho cán bộ, công chức, viên chức của Sở Tài nguyên và Môi trường</t>
  </si>
  <si>
    <t>Xây dựng trụ sở làm việc của Đảng ủy, HĐND, UBND thị trấn Sơn Dương</t>
  </si>
  <si>
    <t>Dự án Hệ thống phần mềm: quản lý kế hoạch phát triển kinh tế - xã hội; quản lý các dự án đầu tư; quản lý hộ kinh doanh, trên địa bàn tỉnh Tuyên Quang</t>
  </si>
  <si>
    <t>Xây dựng trụ sở nhà làm việc trung tâm công nghệ thông tin và truyền thông</t>
  </si>
  <si>
    <t>Xây dựng Nhà làm việc của Sở Tư Pháp</t>
  </si>
  <si>
    <t>Cải tạo hang động tự nhiên bảo đảm cho thực hiện nhiệm vụ quân sự, quốc phòng tỉnh Tuyên Quang giai đoạn 2021-2025 (gồm: Hang cao tại xã Yên Phú, huyện Hàm Yên; Hang Cầu Cả, xã Yên Nguyên, huyện Chiêm Hóa; hang Đung tại xã Công Đa, huyện Yên Sơn; hang Tân Tiến 1, xã Tân Tiến huyện Yên Sơn; hang Hùm tại xã Đạo Viện, huyện Yên Sơn)</t>
  </si>
  <si>
    <t>Cải tạo, nâng cấp Bệnh xá Bộ Chỉ huy quân sự tỉnh</t>
  </si>
  <si>
    <t>Cải tạo, nâng cấp đường giao thông nội bộ 
và đường giao thông kết nối vào công trình A-04</t>
  </si>
  <si>
    <t>Hỗ trợ đầu tư xây dựng hệ thống kho thuộc phòng Hậu cần, Công an tỉnh Tuyên Quang</t>
  </si>
  <si>
    <t>Trung tâm hỗ trợ khởi nghiệp, cơ sở ươm tạo doanh nghiệp nhỏ và vừa</t>
  </si>
  <si>
    <t>IX.2</t>
  </si>
  <si>
    <t>Xây dựng tuyến đường giao thông kết nối với Bệnh viện đa khoa tỉnh và các hạng mục phụ trợ (giai đoạn 1).</t>
  </si>
  <si>
    <t>Sửa chữa, nâng cấp đường từ ngã ba Km16, Quốc lộ 2 vào Khu tưởng niệm Liệt sỹ ngành Tài chính, xã Phúc Ninh, huyện Yên Sơn (Sửa chữa cục bộ đường ĐT.188 đoạn từ Quốc lộ 2 đến ngã ba thôn Gà Luộc xã Phúc Ninh và nâng cấp tuyến đường liên xã đoạn từ thôn Gà Luộc đến khu tưởng niệm Liệt sỹ ngành Tài chính, xã Phúc Ninh)</t>
  </si>
  <si>
    <t>Xây dựng đường Lý Thái Tổ, thành phố Tuyên Quang</t>
  </si>
  <si>
    <t>Xây dựng Cầu và đường từ xã Ninh Lai đi xã Sơn Nam huyện Sơn Dương.</t>
  </si>
  <si>
    <t>Tuyến đường giao thông đoạn từ xã Đạo Viện  đi xã Công Đa (huyện Yên Sơn)  tiếp giáp địa phận xã Trung Yên, huyện Sơn Dương) tỉnh Tuyên Quang</t>
  </si>
  <si>
    <t>Đầu tư xây đường từ xã Phúc Thịnh, huyện Chiêm Hóa đến Thị trấn Na Hang, huyện Na Hang kết nối Quốc lộ 279 đến huyện Ba Bể, tỉnh Bắc Kạn</t>
  </si>
  <si>
    <t>Dự án cải tạo cầu Nông Tiến, thành phố Tuyên Quang</t>
  </si>
  <si>
    <t>Xây dựng cầu Minh Xuân - Tràng Đà, thành phố Tuyên Quang</t>
  </si>
  <si>
    <t>Cải tạo, nâng cấp đường từ Km27 Quốc lộ 2 đi thôn Trung Thành 1, xã Thành Long, huyện Hàm Yên.</t>
  </si>
  <si>
    <t>Xây dựng đường và Cầu Đen trên đường ĐH.09 huyện Sơn Dương, tỉnh Tuyên Quang</t>
  </si>
  <si>
    <t>ĐTXD tuyến đường từ xã Ninh Lai, huyện Sơn Dương (Cụm CN Thiện Kế - Ninh Lai) đến xã Đạo Trù để kết nối với đường Tam Đảo - nút giao IC4 cao tốc Nội Bài - Lào Cai tỉnh Vĩnh Phúc</t>
  </si>
  <si>
    <t>Đầu tư xây dựng cầu qua sông Phó Đáy tại xã Hùng Lợi, huyện Yên Sơn</t>
  </si>
  <si>
    <t>Tuyến đường Khu công nghiệp Tam Đa, huyện Sơn Dương đến xã Quang Yên, huyện Lập Thạch tỉnh Vĩnh Phúc kết nối với nút giao IC6 cao tốc Nội Bài - Lào Cai</t>
  </si>
  <si>
    <t>Đường từ đường Quốc lộ 2 vào xóm 18, xã Lang Quán, huyện Yên Sơn</t>
  </si>
  <si>
    <t>Đường từ Trụ sở Ủy ban nhân dân xã Thượng Lâm đến đèo Ái Âu, huyện Lâm Bình</t>
  </si>
  <si>
    <t>Đường từ Tát Ngà xã Phúc Yên đến Bến Thủy tại khu vực Nà Năm, xã Thúy Loa (cũ), huyện Lâm Bình</t>
  </si>
  <si>
    <t>Dự án Cải tạo, nâng cấp tuyến đường từ đầu cầu Nẻ đến Trường THPT Na Hang, huyện Na Hang, tỉnh Tuyên Quang</t>
  </si>
  <si>
    <t>Đường và cầu nối từ Quốc Lộ 2C qua khu Bể tròn xã Phúc ứng bắc qua sông Phó Đáy sang tổ dân phố Làng Cả, thị trấn Sơn Dương nối đường ĐT 185</t>
  </si>
  <si>
    <t>Nâng cấp đoạn đường ĐT 186 từ Km 15+300 đến Km 17+500 (đoạn từ UBND xã Tam Đa đi Cụm công nghiệp Tam Đa)</t>
  </si>
  <si>
    <t>23</t>
  </si>
  <si>
    <t>Kéo dài Tuyến đường Đông Thọ - Tân Thanh đến xã Hợp Hòa huyện Sơn Dương</t>
  </si>
  <si>
    <t>24</t>
  </si>
  <si>
    <t>Đường từ Quốc lộ 2 thị trấn Yên Sơn kết nối với đường Cao tốc Tuyên Quang - Hà Giang.</t>
  </si>
  <si>
    <t>25</t>
  </si>
  <si>
    <t>Cải tạo, nâng cấp tuyến đường ĐT.188 đoạn từ xã Phúc Ninh đi xã Quý Quân, huyện Yên Sơn</t>
  </si>
  <si>
    <t>26</t>
  </si>
  <si>
    <t>Đường từ trung tâm xã Trung Minh kết nối với thôn Làng Phan, xã Hùng Lợi, huyện Yên Sơn</t>
  </si>
  <si>
    <t>27</t>
  </si>
  <si>
    <t>Đầu tư xây dựng các tuyến đường giao thông trục ngang kết nối Quốc lộ 2 với đường trục phát triển đô thị thành phố Tuyên Quang đi trung tâm huyện lỵ Yên Sơn.</t>
  </si>
  <si>
    <t>28</t>
  </si>
  <si>
    <t>Đường từ QL2 (xã Lưỡng Vượng) đi khu du lịch suối khoáng Mỹ Lâm, thành phố Tuyên Quang.</t>
  </si>
  <si>
    <t>29</t>
  </si>
  <si>
    <t>Đường tránh Quốc lộ 37, đoạn qua thành phố Tuyên Quang</t>
  </si>
  <si>
    <t>30</t>
  </si>
  <si>
    <t>Nâng cấp các tuyến đường giao thông trục chính đô thị (đường Phạm Văn Đồng, Quốc lộ 2 cũ, Lê Đại Hành, đường từ Viên Châu đi xã An Khang, đường Trung Môn - Kim Phú (ĐH.05)).</t>
  </si>
  <si>
    <t>31</t>
  </si>
  <si>
    <t>Sửa chữa cầu bắc qua sông Gâm, tổ 4 thị trấn Na Hang</t>
  </si>
  <si>
    <t>32</t>
  </si>
  <si>
    <t>Dự án đường Hang Khào - Bắc Danh kết nối với Quốc lộ 2C, huyện Na Hang, tỉnh Tuyên Quang</t>
  </si>
  <si>
    <t>33</t>
  </si>
  <si>
    <t>Mở mới tuyến đường tránh thị trấn Sơn Dương từ tổ dân phố Làng Cả đi tổ dân phố Măng Ngọt, thị trấn Sơn Dương, tỉnh Tuyên Quang</t>
  </si>
  <si>
    <t>34</t>
  </si>
  <si>
    <t>Xây dựng hoàn chỉnh tuyến đường 13B kéo dài từ Tổ dân phố Thịnh Tiến đến tổ dân phố Măng Ngọt, thị trấn Sơn Dương</t>
  </si>
  <si>
    <t>35</t>
  </si>
  <si>
    <t>Xây dựng đường Đường Kim Bình -Bình Nhân huyện Chiêm Hóa</t>
  </si>
  <si>
    <t>36</t>
  </si>
  <si>
    <t>Xây dựng đường đô thị dọc hai bờ sông Phó Đáy trên địa bàn Thị trấn Sơn Dương kết hợp xây đập dâng nước tại khu vực hạ lưu sông Phó Đáy, huyện Sơn Dương, tỉnh Tuyên Quang</t>
  </si>
  <si>
    <t>37</t>
  </si>
  <si>
    <t>Xây dựng tuyến đường kết nối vùng từ thôn Phúc Vượng xã Phúc Ứng đi qua UBND xã Phúc Ứng đến thôn Làng Mông, xã Đông Thọ, huyện Sơn Dương, tỉnh Tuyên Quang</t>
  </si>
  <si>
    <t>38</t>
  </si>
  <si>
    <t>Dự án nâng cấp, cải tạo đường tỉnh lộ 185 đoạn từ  Km173+400 - Km204+500, Ngã ba cầu Ba Đạo  - xã Thượng Lâm, huyện Lâm Bình, tỉnh Tuyên Quang.</t>
  </si>
  <si>
    <t>39</t>
  </si>
  <si>
    <t>Dự án nâng cấp, cải tạo đường tỉnh lộ 188 đoạn từ Km0 - Km48+00 (Km151+600, QL.2 - thôn Vĩnh Bảo, thị trấn Vĩnh Lộc, huyện Chiêm Hóa, tỉnh Tuyên Quang).</t>
  </si>
  <si>
    <t>40</t>
  </si>
  <si>
    <t xml:space="preserve">Dự án đường giao thông từ Quốc lộ 37 (xã Thái Bình) - xã Công Đa - xã Đạo Viện - Xã Kiến Thiết </t>
  </si>
  <si>
    <t>41</t>
  </si>
  <si>
    <t>Cải tạo, nâng cấp tuyến đường ĐT.185 (đoạn từ Cầu Treo đến thôn Khuổi Củng, xã Xuân Lập, huyện Lâm Bình</t>
  </si>
  <si>
    <t>42</t>
  </si>
  <si>
    <t>Tuyến đường Kim Bình - Tri Phú - Linh Phú (giáp với xã Lương Bằng, huyện Chợ Đồn, tỉnh Bắc Kan)</t>
  </si>
  <si>
    <t>43</t>
  </si>
  <si>
    <t>Đường từ Hang Khào, thị trấn Na Hang đi Lũng Giang, Nà Khá xã Năng Khả giao với QL.279</t>
  </si>
  <si>
    <t>44</t>
  </si>
  <si>
    <t>Đường giao thông Hồng Quang - Thượng Minh, xã Hồng Quang, huyện Lâm Bình</t>
  </si>
  <si>
    <t>IX.3</t>
  </si>
  <si>
    <t>Giáo dục đào tạo, việc làm và dạy nghề</t>
  </si>
  <si>
    <t xml:space="preserve">Trường THCS Trung Sơn, huyện Yên Sơn, tỉnh Tuyên Quang </t>
  </si>
  <si>
    <t>Trường phổ thông dân tộc nội trú THCS - THPT Chiêm Hóa, tỉnh Tuyên Quang.</t>
  </si>
  <si>
    <t>Dự án xây dựng Trường THPT Tân Trào, thành phố Tuyên Quang (tại địa điểm mới)</t>
  </si>
  <si>
    <t>Xây dựng Trung tâm bồi dưỡng chính trị - giáo dục nghề nghiệp - giáo dục thường xuyên huyện Na Hang</t>
  </si>
  <si>
    <t>Xây dựng Trung tâm bồi dưỡng chính trị - giáo dục nghề nghiệp - giáo dục thường xuyên huyện Lâm Bình</t>
  </si>
  <si>
    <t>Xây dựng Trung tâm bồi dưỡng chính trị huyện Yên Sơn</t>
  </si>
  <si>
    <t>Chương trình kiên cố hóa trường, lớp học để đảm bảo các điều kiện về cơ sở vật chất thực hiện đổi mới căn bản, toàn diện giáo dục và đào tạo</t>
  </si>
  <si>
    <t>IX.4</t>
  </si>
  <si>
    <t>Văn hóa - Xã hội - Thể thao - Du lịch</t>
  </si>
  <si>
    <t>Phục hồi, bảo tồn, tôn tạo di tích cách mạng Khuổi Kịch, xã Tân Trào và di tích sân bay Lũng Cò, xã Minh Thanh, huyện Sơn Dương</t>
  </si>
  <si>
    <t>Xây dựng Nhà thi đấu đa năng; nhà làm việc của Trung tâm Huấn luyện và Thi đấu thể dục thể thao tỉnh; Khu nội trú cho học viên các lớp đội tuyển</t>
  </si>
  <si>
    <t>Tu bổ, tôn tạo di tích cây đa Tân Trào thuộc khu di tích lịch sử quốc gia đặc biệt Tân Trào, xã Tân Trào, huyện Sơn Dương</t>
  </si>
  <si>
    <t>Đầu tư, cải tạo chống xuống cấp Di tích lịch sử Quốc gia Chiến thắng khe Lau, thị trấn Yên Sơn, huyện Yên Sơn</t>
  </si>
  <si>
    <t>Xây dựng Trung tâm Văn hóa - Thể thao huyện Hàm yên (địa điểm mới)</t>
  </si>
  <si>
    <t>Xây dựng Trung tâm thanh thiếu nhi, huyện Sơn Dương (giai đoạn 2)</t>
  </si>
  <si>
    <t xml:space="preserve">Khu liên hợp thể thao tỉnh Tuyên Quang </t>
  </si>
  <si>
    <t>Xây dựng hệ thống chiếu sáng đô thị các tuyến đường trên địa bàn thị trấn Sơn Dương</t>
  </si>
  <si>
    <t xml:space="preserve">Xây dựng trung tâm Hội nghị huyện Sơn Dương </t>
  </si>
  <si>
    <t xml:space="preserve"> Dự án Bảo tồn, tôn tạo Di tích quốc gia đặc biệt Đại hội II Kim Bình, huyện Chiêm Hóa, tỉnh Tuyên Quang</t>
  </si>
  <si>
    <t>Xây dựng trung tâm văn hóa và điện ảnh tỉnh Tuyên Quang</t>
  </si>
  <si>
    <t>Dự án hạ tầng kỹ thuật Khu du lịch Quốc gia đặc biệt Tân Trào</t>
  </si>
  <si>
    <t>Dự án hạ tầng kỹ thuật Khu du lịch suối khoáng Mỹ Lâm, huyện Yên Sơn giai đoạn 2</t>
  </si>
  <si>
    <t>Dự án bảo quản tu bổ phục hồi di tích lịch sử cách mạng; trung tu tôn tạo quảng trường Nguyễn Tất Thành (Đền thờ, tượng đài trên địa bàn tỉnh Tuyên Quang)</t>
  </si>
  <si>
    <t>Xây dựng bãi đỗ xe, nhà chờ khách và đồng bộ hệ thống hạ tầng kỹ thuật bến thủy xã Đà Vị, huyện Na Hang, tỉnh Tuyên Quang</t>
  </si>
  <si>
    <t>Dự án trồng hoa tạo cảnh quan tại Khu danh thắng quốc gia đặc biệt Na Hang - Lâm Bình</t>
  </si>
  <si>
    <t>Đầu tư phát triển hạ tầng khung khu du lịch (gồm 5 tiểu dự án)</t>
  </si>
  <si>
    <t>IX.5</t>
  </si>
  <si>
    <t>Phát thanh truyền hình</t>
  </si>
  <si>
    <t>Dự án Nâng cấp thiết bị công nghệ truyền hình cho Đài Phát thanh và Truyền hình tỉnh Tuyên Quang</t>
  </si>
  <si>
    <t>IX.6</t>
  </si>
  <si>
    <t>Nông lâm nghiệp, thủy lợi</t>
  </si>
  <si>
    <t>Dự án Đầu tư xây dựng hệ thống đường ống đấu nối với tuyến ống cấp nước thô hồ Cao Ngỗi để cấp nước sinh hoạt cho các xã Phú Lương, Hào Phú, Tam Đa, Hồng Lạc huyện Sơn Dương, tỉnh Tuyên Quang</t>
  </si>
  <si>
    <t>Dự án đầu tư xây dựng công trình thủy lợi hồ Cao Ngỗi, xã Đông Lợi, huyện Sơn Dương, tỉnh Tuyên Quang</t>
  </si>
  <si>
    <t>Đầu tư xây dựng hạng mục hệ thống kênh dẫn đập thủy lợi Ô rô, xã Thái Hòa, huyện Hàm Yên</t>
  </si>
  <si>
    <t xml:space="preserve">Dự án kè chống sạt lở Bờ sông Phó Đáy xã Hùng Lợi, huyện Yên Sơn </t>
  </si>
  <si>
    <t>Kè bảo vệ tuyến đê An Khang - Thái Long, thành phố Tuyên Quang</t>
  </si>
  <si>
    <t>Xây dựng kè bờ sông, suối và kè những vùng có nguy cơ trượt, lở trên địa bàn thành phố Tuyên Quang</t>
  </si>
  <si>
    <t>Kè chống sạt lở khu vực bờ Soi Sính (di tích lịch sử cấp tỉnh), xã Tân Long, huyện Yên Sơn.</t>
  </si>
  <si>
    <t>Dự án kè chống sạt lở bờ suối Hẻ, xã Yên Phú, huyện Hàm Yên</t>
  </si>
  <si>
    <t>Xây dựng hồ thủy lợi Nà Thôm, Xã Thanh Tương, huyện Na Hang</t>
  </si>
  <si>
    <t>Kè bờ suối thôn Nặm Đíp, Làng Chùa, Nà Khà, xã Lăng Can, huyện Lâm Bình</t>
  </si>
  <si>
    <t>Thủy lợi Hồ Nà Dân xã Thanh Tương, huyện Na Hang</t>
  </si>
  <si>
    <t xml:space="preserve"> Kè chống sối lởi bờ suối Nà Thài, xã Thượng Giáp, huyện Na Hang, huyện Na Hang</t>
  </si>
  <si>
    <t>Thủy lợi Phiêng Bung, xã Năng Khả, huyện Na Hang</t>
  </si>
  <si>
    <t>Di dân khẩn cấp ra khỏi vùng lũ ống, lũ quét, sạt lở đất thôn Nà Luông, Nà Xé, xã Bình An, huyện Lâm Bình, tỉnh Tuyên Quang.</t>
  </si>
  <si>
    <t>Di dân khẩn cấp ra khỏi vùng thiên tai nguy hiểm và vùng đồng bào dân tộc thiểu số đặc biệt khó khăn thôn Thài Khao, Quảng Tân, xã Yên Lâm, huyện Hàm Yên, tỉnh Tuyên Quang</t>
  </si>
  <si>
    <t xml:space="preserve">Dự án bố trí, sắp xếp ổn định dân cư vùng đặc biệt khó khăn thôn Khuổi Trang, Khuổi Củng, xã Xuân Lập, huyện Lâm Bình, </t>
  </si>
  <si>
    <t xml:space="preserve">Dự án bố trí, sắp xếp ổn định dân cư vùng thiên tai nguy hiểm do lũ quét thôn Nặm Chá, Đon Bả và Khau Quang, xã Lăng Can, huyện Lâm Bình. </t>
  </si>
  <si>
    <t>Dự án bố trí, sắp xếp ổn định dân cư vùng đặc biệt khó khăn thôn Khau Hán, Phú Linh, Lung Lừa xã Bình Phú, huyện Chiêm Hóa</t>
  </si>
  <si>
    <t>Dự án sửa chữa, nâng cấp đảm bảo an toàn hồ chứa huyện Hàm Yên (Làng Bát, Làng Lếch, hồ Khởn, Tam Tinh, Kim Giao)</t>
  </si>
  <si>
    <t>Kè chống sạt lở bờ sông Lô, khu dân cư đoạn Chợ Thụt, xã Phù Lưu, huyện Hàm Yên, tỉnh Tuyên Quang</t>
  </si>
  <si>
    <t xml:space="preserve">Dự án sửa chữa, nâng cấp hệ thống công trình thủy lợi vừa và nhỏ huyện Na Hang </t>
  </si>
  <si>
    <t>Dự án sửa chữa, nâng cấp hệ thống công trình thủy lợi vừa và nhỏ huyện Lâm Bình</t>
  </si>
  <si>
    <t>Dự án sửa chữa, nâng cấp hệ thống công trình thủy lợi vừa và nhỏ huyện Hàm Yên</t>
  </si>
  <si>
    <t>Dự án sửa chữa, nâng cấp đảm bảo an toàn hồ chứa huyện Chiêm Hóa (Pác Nhang, Thôn Chản, Đèo Chắp, Bản Lai)</t>
  </si>
  <si>
    <t xml:space="preserve">Dự án sửa chữa, nâng cấp hệ thống công trình thủy lợi vừa và nhỏ huyện Sơn Dương </t>
  </si>
  <si>
    <t xml:space="preserve">Dự án sửa chữa, nâng cấp hệ thống công trình thủy lợi vừa và nhỏ huyện Yên Sơn </t>
  </si>
  <si>
    <t>Dự án sửa chữa, nâng cấp hệ thống công trình thủy lợi vừa và nhỏ thành phố Tuyên Quang</t>
  </si>
  <si>
    <t>Dự án sửa chữa, nâng cấp hệ thống công trình thủy lợi vừa và nhỏ huyện Chiêm Hóa</t>
  </si>
  <si>
    <t>Cụm công trình hồ tích nước thủy lợi xã Vân Sơn, huyện Sơn Dương</t>
  </si>
  <si>
    <t>Dự án kè bảo vệ tuyến đê đoạn thôn Xạ Hương, xã Đông Thọ, huyện Sơn Dương</t>
  </si>
  <si>
    <t>Dự án đầu tư xây dựng công trình thủy lợi hồ Đát Đền, xã Hợp Hòa, huyện Sơn Dương, tỉnh Tuyên Quang</t>
  </si>
  <si>
    <t>Kè bảo vệ bờ sông Lô, xã Vân Sơn, huyện Sơn Dương</t>
  </si>
  <si>
    <t>Kè chống sạt lở bờ sông Lô đoạn qua Bến phà Cũ - Cầu Tân Yên, xã Tân Thành, huyện Hàm Yên</t>
  </si>
  <si>
    <t>Kè chống sạt lở bờ sông Lô khu vực bến Đền, xã Bạch Xa, huyện Hàm Yên</t>
  </si>
  <si>
    <t>Kè suối xã Tân Mỹ, huyện Chiêm Hóa</t>
  </si>
  <si>
    <t>Kè suối Cầu Cả, xã Yên Nguyên, huyện Chiêm Hóa</t>
  </si>
  <si>
    <t>Kè suối Cổ Linh, xã Kinh Bình, huyện Chiêm Hóa</t>
  </si>
  <si>
    <t>Kè sông Gâm, đoạn qua Phố Chinh xã Vinh Quang, huyện Chiêm Hóa</t>
  </si>
  <si>
    <t>IX.7</t>
  </si>
  <si>
    <t>Dự án cải tạo, nâng cấp hệ thống lưới điện trên địa bàn huyện Hàm Yên đạt chuẩn theo tiêu chí huyện Nông thôn mới</t>
  </si>
  <si>
    <t>Dự án đầu tư xây dựng hệ thống đường giao thông, hệ thống thoát nước và xử lý nước thải Cụm công nghiệp Tân Thành, huyện Hàm Yên</t>
  </si>
  <si>
    <t>Dự án đầu tư xây dựng hệ thống đường giao thông nội bộ, hệ thống thoát nước và xử lý nước thải Khu công nghiệp Ninh Lai, huyện Sơn Dương, tỉnh Tuyên Quang</t>
  </si>
  <si>
    <t>Dự án đầu tư xây dựng hệ thống đường giao thông, hệ thống thoát nước và xử lý nước thải Cụm công nghiệp An Thịnh, huyện Chiêm Hóa</t>
  </si>
  <si>
    <t>Dự án đầu tư xây dựng hệ thống đường giao thông, hệ thống thoát nước và xử lý nước thải Cụm công nghiệp Phúc Ứng, huyện Sơn Dương</t>
  </si>
  <si>
    <t>IX.8</t>
  </si>
  <si>
    <t>Công trình công cộng tại các đô thị</t>
  </si>
  <si>
    <t>Xây dựng hệ thống thoát nước khu trung tâm huyện Yên Sơn đạt đô thị loại IV.</t>
  </si>
  <si>
    <t>Dự án công nghệ thông tin, viễn thông, truyền thông phục vụ đô thị thông minh.</t>
  </si>
  <si>
    <t>Cải tạo, nâng cấp hệ thống điện chiếu sáng đường phố chính, ngõ hẻm và chiếu sáng cảnh quan đô thị trên địa bàn thành phố Tuyên Quang.</t>
  </si>
  <si>
    <t>Cải tạo, chỉnh trang hồ tổ 9, phường An Tường, thành phố Tuyên Quang</t>
  </si>
  <si>
    <t>Cải tạo, chỉnh trang Giếng Tanh, xã Kim Phú, thành phố Tuyên Quang</t>
  </si>
  <si>
    <t>IX.9</t>
  </si>
  <si>
    <t>Bệnh viện đa khoa khu vực Kim Xuyên, huyện Sơn Dương</t>
  </si>
  <si>
    <t>Tăng cường quản lý đất đai và cơ sở dữ liệu quản lý đất đai</t>
  </si>
  <si>
    <t>Đầu tư xây dựng cầu Trường Thi bắc qua sông Lô tại TP Tuyên Quang</t>
  </si>
  <si>
    <t>Dự án "Phát triển CSHT thủy lợi nhỏ bao gồm cả cấp nước sinh hoạt và lồng ghép với hoạt động sinh kế bền vững cho đồng bào dân tộc các tỉnh miền núi phía Bắc thích ứng với biến đổi khi hậu" tỉnh Tuyên Quang.</t>
  </si>
  <si>
    <t>Dự án xây dựng hệ thống giao thông nông thôn thích ứng với biến đổi khí hậu tỉnh Tuyên Quang</t>
  </si>
  <si>
    <t>Dự án Phát triển cơ sở hạ tầng thích ứng biến đổi khí hậu để hỗ trợ sản xuất cho đồng bào  dân tộc các tỉnh miền núi, trung du phía Bắc tỉnh Tuyên Quang</t>
  </si>
  <si>
    <t>Dự án cung cấp nước sinh hoạt từ hồ nước sạch Na Hang cung cấp cho các huyện: Na Hang, Chiêm Hóa, Hàm Yên, Yên Sơn và thành phố tuyên Quang</t>
  </si>
  <si>
    <t>Dự án phát triển kinh doanh nông nghiệp thích ứng với biến đổi khí hậu</t>
  </si>
  <si>
    <t>Dự án phát triển cơ sở hạ tầng toàn diện đồng bào dân tộc thiểu số ở các tỉnh miền núi phía Bắc</t>
  </si>
  <si>
    <t>Dự án phát triển bền vững chuỗi giá trị nông nghiệp, vay vốn WB</t>
  </si>
  <si>
    <t>Dự án "Phục hồi và quản lý rừng bền vững-KfW9.2 (sử dụng vốn vay ODA của Chính phủ Đức)</t>
  </si>
  <si>
    <t>Dự án đầu tư cơ sở vật chất trường, lớp học, cải thiện điều kiện dạy và học cho các cơ sở giáo dục, đào tạo trên địa bàn tỉnh Tuyên Quang</t>
  </si>
  <si>
    <t xml:space="preserve">Dự án "Tăng cường hệ thống cung cấp dịch vụ trợ giúp xã hội, chăm sóc người cao tuổi và điều trị, cai nghiện cho người nghiện ma túy" </t>
  </si>
  <si>
    <t>IX.10</t>
  </si>
  <si>
    <t>Bảo vệ môi trường</t>
  </si>
  <si>
    <t>Xây dựng hệ thống thoát nước trên các trục đường chính đô thị: Đường Nguyễn Tất Thành, đường Tân Trào, đường 17/8, đường Kim Bình, đường Bình Thuận, đường Lý Thái Tổ, dường QL2 cũ,...</t>
  </si>
  <si>
    <t>Quy hoạch, xây dựng khu xử lý chất thải rắn trên địa bàn huyện Hàm Yên</t>
  </si>
  <si>
    <t>Quy hoach, xây dựng khu xử lý chất thải, huyện Na Hang</t>
  </si>
  <si>
    <t>Nâng cấp mở rộng hệ thống cung cấp nước sạch huyện Sơn Dương, tỉnh Tuyên Quang</t>
  </si>
  <si>
    <t>Xây dựng nhà máy xử lý rác thải huyện Sơn Dương, tỉnh Tuyên Quang</t>
  </si>
  <si>
    <t>Quy hoạch, xây dựng khu xử lý rác thải tỉnh Tuyên Quang</t>
  </si>
  <si>
    <t>Nhà máy xử lý nước thải thành phố Tuyên Quang</t>
  </si>
  <si>
    <t>X</t>
  </si>
  <si>
    <t>Chương trình MTQG xây dựng nông thôn mới</t>
  </si>
  <si>
    <t>Bố trí phần vốn còn thiếu ngân sách tỉnh thực hiện Kế hoạch xây dựng nông thôn mới năm 2022 theo Quyết định số 659/QĐ-UBND ngày 30/11/2022; số 2049/QĐ-UBND ngày 31/12/2022 của Ủy ban nhân dân tỉnh</t>
  </si>
  <si>
    <t>Bố trí phần vốn còn thiếu ngân sách tỉnh thực hiện Kế hoạch xây dựng nông thôn mới năm 2023 theo Quyết định số 265/QĐ-UBND ngày 21/7/2023 của Ủy ban nhân dân tỉnh</t>
  </si>
  <si>
    <t>Hỗ trợ huyện Hàm Yên Đạt chuẩn nông thôn mới giai đoạn 2021-2025 theo Quyết định số 360/QĐ-UBND ngày 08/6/2021 của Ủy ban nhân dân tỉnh</t>
  </si>
  <si>
    <t>Hỗ trợ huyện Sơn Dương Đạt chuẩn nông thôn mới giai đoạn 2021-2025 theo Quyết định số 150/QĐ-UBND ngày 24/4/2023 của Ủy ban nhân dân tỉnh</t>
  </si>
  <si>
    <t>Chương trình MTQG giảm nghèo bền vững</t>
  </si>
  <si>
    <t>Chương trình MTQG phát triển kinh tế - xã hội vùng đồng bào dân tộc thiểu số và miền núi tỉnh Tuyên Quang giai đoạn 2021-2025, định hướng đến năm 2030</t>
  </si>
  <si>
    <t>XI</t>
  </si>
  <si>
    <t>VỐN ĐỐI ỨNG QUỸ BẢO VỆ MÔI TRƯỜNG</t>
  </si>
  <si>
    <t>XII</t>
  </si>
  <si>
    <t>ỦY THÁC QUA NGÂN HÀNG CHÍNH SÁCH</t>
  </si>
  <si>
    <t>XIII</t>
  </si>
  <si>
    <t>BỔ SUNG QUỸ ĐẦU TƯ PHÁT TRIỂN</t>
  </si>
  <si>
    <t>XIV</t>
  </si>
  <si>
    <t>XV</t>
  </si>
  <si>
    <t>HỖ TRỢ DOANH NGHIỆP ĐẦU TƯ VÀO NÔNG NGHIỆP, NÔNG DÂN VÀ NÔNG THÔN</t>
  </si>
  <si>
    <t>Nhà máy sản xuất chế biến nông sản JW</t>
  </si>
  <si>
    <t>XVI</t>
  </si>
  <si>
    <t xml:space="preserve">CHƯA PHÂN BỔ TỪ NGUỒN THU TIỀN SỬ DỤNG ĐẤT NGÂN SÁCH TỈNH ĐƯỢC HƯỞNG THEP PHÂN CẤP TẠI ĐIỂM B KHOẢN 4 ĐIỀU 4 NGHỊ QUYẾT SỐ 07/NQ-HĐND NGÀY </t>
  </si>
  <si>
    <t>XVII</t>
  </si>
  <si>
    <t>HỖ TRỢ THỰC HIỆN TIÊU CHÍ ĐÔ THỊ LOẠI I ĐỐI VỚI THÀNH PHỐ TUYÊN QUANG</t>
  </si>
  <si>
    <t>XVIII</t>
  </si>
  <si>
    <t>CÔNG TRÌNH DO TỈNH BẮC CẠN LÀM CHỦ ĐẦU TƯ</t>
  </si>
  <si>
    <t>Xây dựng tuyến đường trên địa phận huyện Na Hang, tỉnh Tuyên Quang thuộc Dự án xây dựng tuyến đường thành phố Bắc Kạn - Hồ Ba Bể kết nối sang Na Hang.</t>
  </si>
  <si>
    <t>2017-2020</t>
  </si>
  <si>
    <t>2019-2021</t>
  </si>
  <si>
    <t>2019-2020</t>
  </si>
  <si>
    <t>2013-2025</t>
  </si>
  <si>
    <t>2024-2025</t>
  </si>
  <si>
    <t>2014-2025</t>
  </si>
  <si>
    <t>2023-2025</t>
  </si>
  <si>
    <t>2019-2025</t>
  </si>
  <si>
    <t>VỐN NGÂN SÁCH TRUNG ƯƠNG</t>
  </si>
  <si>
    <t>ĐẦU TƯ DỰ ÁN QUAN TRỌNG QUỐC GIA, DỰ ÁN CAO TỐC, LIÊN KẾT VÙNG, DỰ ÁN TRỌNG ĐIỂM KHÁC</t>
  </si>
  <si>
    <t>Cao tốc Tuyên Quang - Hà Giang (giai đoạn 1) - Đoạn qua địa phận tỉnh Tuyên Quang</t>
  </si>
  <si>
    <t>Các hạng mục còn lại của dự án Cao tốc Tuyên Quang - Hà Giang (giai đoạn 1) Đoạn qua tỉnh Tuyên Quang</t>
  </si>
  <si>
    <t>Tiểu dự án 3, giải phóng mặt bằng trên địa phận huyện Hàm Yên thuộc dự án Cao tốc Tuyên Quang - Hà Giang (giai doạn 1) - Đoạn qua tỉnh Tuyên Quang</t>
  </si>
  <si>
    <t>Tiểu dự án 2, giải phóng mặt bằng trên địa phận huyện Yên Sơn thuộc dự án Cao tốc Tuyên Quang - Hà Giang (giai đoạn 1) - Đoạn qua tỉnh Tuyên Quang</t>
  </si>
  <si>
    <t>Tiểu dự án 1, giải phóng mặt bằng trên địa phận thành phố Tuyên Quang thuộc dự án Cao tốc Tuyên Quang Hà Giang (giai đoạn 1) đoạn qua tỉnh Tuyên Quang</t>
  </si>
  <si>
    <t>Đầu tư xây dựng Bệnh viện đa khoa tỉnh Tuyên Quang</t>
  </si>
  <si>
    <t>Dự án điều chỉnh bổ sung quy hoạch tổng thể di dân, tái định cư dự án thủy điện Tuyên Quang trên địa bàn tỉnh Tuyên Quang</t>
  </si>
  <si>
    <t>GIÁO DỤC VÀ ĐÀO TẠO, VIỆC LÀM, DẠY NGHỀ</t>
  </si>
  <si>
    <t>Dự án chuyển tiếp hoàn thành năm 2024</t>
  </si>
  <si>
    <t>Y TẾ, DÂN SỐ VÀ GIA ĐÌNH</t>
  </si>
  <si>
    <t>Các Dự án chuyển tiếp dự kiến hoàn thành năm 2024</t>
  </si>
  <si>
    <t>GIAO THÔNG VẬN TẢI</t>
  </si>
  <si>
    <t>Dự án hoàn thành, bàn giao, đưa vào sử dụng đến ngày 31/12/2023</t>
  </si>
  <si>
    <t>Cải tạo, nâng cấp tuyến ĐT.188 đoạn Km48+00-Km86+300, huyện Chiêm Hóa, huyện Lâm Bình, tỉnh Tuyên Quang</t>
  </si>
  <si>
    <t xml:space="preserve">Dự án đường trục phát triển đô thị từ thành phố Tuyên Quang đi trung tâm huyện lỵ Yên Sơn Km14 QL2 Tuyên Quang - Hà Giang </t>
  </si>
  <si>
    <t xml:space="preserve">Dự án Cải tạo, nâng cấp tuyến đường giao thông từ Trung tâm xã Vân Sơn qua các thôn Dộc Vầu, Xóm Mới, nhánh vào thôn Mãn Sơn đi xã Hồng Lạc, xã Sầm Dương đến thôn Phan Lương, xã Lâm Xuyên, huyện Sơn Dương, tỉnh Tuyên Quang </t>
  </si>
  <si>
    <t>Các dự án chuyển tiếp dự kiến hoàn thành năm 2024</t>
  </si>
  <si>
    <t>Dự án xây dựng cầu Xuân Vân, vượt sông Gâm, huyện Yên Sơn, tỉnh Tuyên Quang</t>
  </si>
  <si>
    <t>Cầu qua sông Lô Km 71 đường Tuyên Quang - Hà Giang đi Bạch Xa, xã Bạch Xa, huyện Hàm Yên, tỉnh Tuyên Quang</t>
  </si>
  <si>
    <t>Xây dựng đường giao thông từ Trường Tiểu Học xã Khuôn Hà đến đèo Kéo Ráo thôn Nà Vàng, xã Khuôn Hà, huyện Lâm Bình, tỉnh Tuyên Quang</t>
  </si>
  <si>
    <t>Đầu tư xây dựng Cầu và tuyến đường tránh thị trấn Sơn Dương từ Km183 QL37 đi qua tổ dân phố Tân Kỳ, Tân Phúc qua Quốc lộ 2C đến Km 188 QL37, tổ dân phố Đăng Châu, huyện Sơn Dương, tỉnh Tuyên Quang</t>
  </si>
  <si>
    <t>Cải tạo nâng cấp đường Tân Yên - Thái Sơn - Thái Hòa - Đức Ninh, huyện Hàm Yên, tỉnh Tuyên Quang</t>
  </si>
  <si>
    <t>Xây dựng đường từ Khu du lịch suối khoáng Mỹ Lâm đến Quốc lộ 2D và đường cao tốc Tuyên Quang - Phú Thọ</t>
  </si>
  <si>
    <t>Dự án khởi công mới năm 2024</t>
  </si>
  <si>
    <t>VĂN HÓA - XÃ HỘI</t>
  </si>
  <si>
    <t>Dự án dự kiến hoàn thành sau năm 2024</t>
  </si>
  <si>
    <t>Dự án Cơ sở cai nghiện ma túy tỉnh Tuyên Quang</t>
  </si>
  <si>
    <t>Dự án dự kiến khởi công mới năm 2024</t>
  </si>
  <si>
    <t>Bảo tồn, tôn tạo Khu di tích lịch sử quốc gia đặc biệt Tân Trào, tỉnh Tuyên Quang</t>
  </si>
  <si>
    <t>Bảo tồn, tôn tạo Khu di tích Ban Thường trực Quốc Hội, xã Trung Yên, huyện Sơn Dương, tỉnh Tuyên Quang</t>
  </si>
  <si>
    <t>CÁC CHƯƠNG TRÌNH MỤC TIÊU QUỐC GIA</t>
  </si>
  <si>
    <t>Vốn thực hiện Chương trình mục tiêu quốc gia xây dựng nông thôn mới</t>
  </si>
  <si>
    <t>Vốn thực hiện Chương trình mục tiêu quốc gia  giảm nghèo bền vững</t>
  </si>
  <si>
    <t>Vốn thực hiện Chương trình mục tiêu quốc gia phát triển kinh tế - xã hội vùng đồng bào dân tộc thiểu số và miền núi</t>
  </si>
  <si>
    <r>
      <t xml:space="preserve"> Dự án cơ sở làm việc của Công an 50 xã trên địa bàn tỉnh Tuyên Quang (Xây dựng 09 Trụ sở làm việc Công an 09 xã, gồm: x</t>
    </r>
    <r>
      <rPr>
        <b/>
        <sz val="11"/>
        <rFont val="Times New Roman"/>
        <family val="1"/>
      </rPr>
      <t>ã Hồng Quang, xã Phúc Yên</t>
    </r>
    <r>
      <rPr>
        <sz val="11"/>
        <rFont val="Times New Roman"/>
        <family val="1"/>
      </rPr>
      <t>, huyện Lâm Bình; x</t>
    </r>
    <r>
      <rPr>
        <b/>
        <sz val="11"/>
        <rFont val="Times New Roman"/>
        <family val="1"/>
      </rPr>
      <t>ã Linh Phú,</t>
    </r>
    <r>
      <rPr>
        <sz val="11"/>
        <rFont val="Times New Roman"/>
        <family val="1"/>
      </rPr>
      <t xml:space="preserve"> huyện Chiêm Hóa; x</t>
    </r>
    <r>
      <rPr>
        <b/>
        <sz val="11"/>
        <rFont val="Times New Roman"/>
        <family val="1"/>
      </rPr>
      <t>ã Đại Phú,</t>
    </r>
    <r>
      <rPr>
        <sz val="11"/>
        <rFont val="Times New Roman"/>
        <family val="1"/>
      </rPr>
      <t xml:space="preserve"> huyện Sơn Dương; x</t>
    </r>
    <r>
      <rPr>
        <b/>
        <sz val="11"/>
        <rFont val="Times New Roman"/>
        <family val="1"/>
      </rPr>
      <t>ã Yên Lâm, xã Minh Hương</t>
    </r>
    <r>
      <rPr>
        <sz val="11"/>
        <rFont val="Times New Roman"/>
        <family val="1"/>
      </rPr>
      <t xml:space="preserve">, huyện Hàm Yên; </t>
    </r>
    <r>
      <rPr>
        <b/>
        <sz val="11"/>
        <rFont val="Times New Roman"/>
        <family val="1"/>
      </rPr>
      <t>xã Kim Quan,</t>
    </r>
    <r>
      <rPr>
        <sz val="11"/>
        <rFont val="Times New Roman"/>
        <family val="1"/>
      </rPr>
      <t xml:space="preserve"> huyện Yên Sơn; T</t>
    </r>
    <r>
      <rPr>
        <b/>
        <sz val="11"/>
        <rFont val="Times New Roman"/>
        <family val="1"/>
      </rPr>
      <t>hị trấn Na Hang,</t>
    </r>
    <r>
      <rPr>
        <sz val="11"/>
        <rFont val="Times New Roman"/>
        <family val="1"/>
      </rPr>
      <t xml:space="preserve"> huyện Na Hang; x</t>
    </r>
    <r>
      <rPr>
        <b/>
        <sz val="11"/>
        <rFont val="Times New Roman"/>
        <family val="1"/>
      </rPr>
      <t>ã Kim Phú</t>
    </r>
    <r>
      <rPr>
        <sz val="11"/>
        <rFont val="Times New Roman"/>
        <family val="1"/>
      </rPr>
      <t>, thành phố Tuyên Quang).</t>
    </r>
  </si>
  <si>
    <r>
      <t>Mở rộng, nâng cấp tuyến đường ĐT.186 đoạn từ Km15+300 đến Km17+500 huyện Sơn Dương, tỉnh Tuyên Quang</t>
    </r>
    <r>
      <rPr>
        <b/>
        <sz val="11"/>
        <rFont val="Times New Roman"/>
        <family val="1"/>
      </rPr>
      <t>.</t>
    </r>
  </si>
  <si>
    <t xml:space="preserve">Tỉnh Tuyên Quang </t>
  </si>
  <si>
    <t>Tỉnh Tuyên Quang, Tỉnh Phú Thọ</t>
  </si>
  <si>
    <t>TP Tuyên Quang</t>
  </si>
  <si>
    <t>Tỉnh Tuyên Quang</t>
  </si>
  <si>
    <t>Huyện Chiêm Hóa, huyện Lâm Bình</t>
  </si>
  <si>
    <t>Thành phố TQ</t>
  </si>
  <si>
    <t>L=77 km; Đường cao tốc</t>
  </si>
  <si>
    <t>800 giường</t>
  </si>
  <si>
    <t>200 giường</t>
  </si>
  <si>
    <t>36,71 km theo TC đường cấp III, MN</t>
  </si>
  <si>
    <t>24,218 km, TC đường cấp V, MN</t>
  </si>
  <si>
    <t>Tiếp nhận từ 200 đến 300 HV</t>
  </si>
  <si>
    <t>2011-2025</t>
  </si>
  <si>
    <t>1868/QĐ-UBND, 21/12/2022</t>
  </si>
  <si>
    <t>1212/QĐ-UBND, 24/10/2023</t>
  </si>
  <si>
    <t>1104/QĐ-UBND, 06/10/2023</t>
  </si>
  <si>
    <t>972/QĐ-UBND, 31/8/2023</t>
  </si>
  <si>
    <t>77/QĐ-UBND; 25/01/2021; 468/QĐ-UBND, 28/4/2022; 568/QĐ-TTg, 29/5/2023</t>
  </si>
  <si>
    <t>53/NQ-HĐND; 20/11/2020; 33/NQ-HĐND, 16/9/2022; 1891/QĐ-UBND,  27/12/2022</t>
  </si>
  <si>
    <t>1766 QĐ-TTg; 10/10/2011; QĐ 348/QĐ-TTg, 12/3/2021</t>
  </si>
  <si>
    <t>54/NQ-HĐND; 20/11/2020; 1191/QĐ-UBND,22/8/2022</t>
  </si>
  <si>
    <t>13/NQ-HĐND; 29/4/2020; 1544/QĐ-UBND, 09/10/2021; 1647/QĐ-UBND, 09/11/2022</t>
  </si>
  <si>
    <t xml:space="preserve">493/QĐ-UBND; 06/5/2020; 1542/QĐ-UBND, 09/10/2021; </t>
  </si>
  <si>
    <t>90/NQ-HĐND; 29/12/2020; 591/QĐ-UBND 07/6/2021; 368/QĐ-UBND, 07/4/2022; 523/QĐ-UBND 24/5/2023</t>
  </si>
  <si>
    <t>09/NQ-HĐND; 10/3/2020; 689/QĐ-UBND 15/6/2020; 1650/QĐ-UBND, 25/10/2021</t>
  </si>
  <si>
    <t>578/QĐ-UBND 04/6/2021; 367/QĐ-UBND, 07/4/2022</t>
  </si>
  <si>
    <t>41/NQ-HĐND; 20/11/2020; 577/QĐ-UBND 04/6/2021</t>
  </si>
  <si>
    <t>48/NQ-HĐND; 20/11/2020; 553/QĐ-UBND 31/5/2021</t>
  </si>
  <si>
    <t>46/NQ-HĐND; 20/11/2020; 592/QĐ-UBND  07/6/2021</t>
  </si>
  <si>
    <t>52/NQ-HĐND; 20/11/2020; 552/QĐ-UBND 31/5/2021</t>
  </si>
  <si>
    <t>45/NQ-HĐND; 20/11/2020; 529/QĐ-UBND 26/5/2021</t>
  </si>
  <si>
    <t>38/NQ-HĐND; 20/10/2023</t>
  </si>
  <si>
    <t>1358/QĐ-UBND 30/9/2020; 1603/QĐ-UBND, 21/10/2021</t>
  </si>
  <si>
    <t>01/NQ-HĐND, 28/02/2023</t>
  </si>
  <si>
    <t>VỐN NGÂN SÁCH ĐỊA PHƯƠNG</t>
  </si>
  <si>
    <t>VỐN NƯỚC NGOÀI KHÔNG GIẢI NGÂN THEO CƠ CHẾ TÀI CHÍNH TRONG NƯỚC</t>
  </si>
  <si>
    <t>Nông nghiệp và phát triển nông thôn</t>
  </si>
  <si>
    <t xml:space="preserve"> Dự án nhóm B</t>
  </si>
  <si>
    <t>Dự án Chương trình phát triển khu vực nông thôn tỉnh Tuyên Quang</t>
  </si>
  <si>
    <t>Dự án ''Tăng cường hiệu quả đầu tư và duy trì, phát triển, đảm bảo bền vững Dự án Chương trình phát triển khu vực nông thôn tỉnh Tuyên Quang do KOICA tài trợ</t>
  </si>
  <si>
    <t>Dự án Cấp nước sinh hoạt gắn với phát triển nông nghiệp bền vững xã Khâu Tinh, huyện Na Hang, tỉnh Tuyên Quang</t>
  </si>
  <si>
    <t>Dự án nhóm B</t>
  </si>
  <si>
    <t xml:space="preserve">Dự án Phát triển cơ sở hạ tầng thích ứng biến đổi khí hậu để hỗ trợ sản xuất cho đồng bào dân tộc các tỉnh miền núi, trung du </t>
  </si>
  <si>
    <t>Dự án đầu tư xây dựng đường từ trung tâm thành phố Tuyên Quang (Quốc lộ 2 đoạn tránh thành phố Tuyên Quang) đi khu du lịch suối khoáng Mỹ Lâm, phường Mỹ Lâm, TP.Tuyên Quang (EDCF)</t>
  </si>
  <si>
    <t>Chương trình mục tiêu quốc gia xây dựng nông thôn mới</t>
  </si>
  <si>
    <t>Chương trình Đầu tư phát triển mạng lưới y tế cơ sở vùng khó khăn, vốn vay ODA của Ngân hàng Phát triển Châu Á (ADB)</t>
  </si>
  <si>
    <t>VII.3</t>
  </si>
  <si>
    <t>(Dự toán đã được Hội đồng nhân dân quyết định)</t>
  </si>
  <si>
    <t>(Kèm theo Quyết định số 551/QĐ-UBND ngày 31/12/2023 của UBND tỉnh)</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</si>
</sst>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_(@_)"/>
    <numFmt numFmtId="165" formatCode="#,##0.0"/>
    <numFmt numFmtId="166" formatCode="_(* #,##0.0_);_(* \(#,##0.0\);_(* &quot;-&quot;??_);_(@_)"/>
    <numFmt numFmtId="167" formatCode="#,##0.000"/>
    <numFmt numFmtId="168" formatCode="_(* #,##0_);_(* \(#,##0\);_(* &quot;-&quot;??_);_(@_)"/>
    <numFmt numFmtId="169" formatCode="_(* #,##0.0_);_(* \(#,##0.0\);_(* &quot;-&quot;?_);_(@_)"/>
  </numFmts>
  <fonts count="66">
    <font>
      <sz val="11"/>
      <color theme="1"/>
      <name val="Calibri"/>
      <family val="2"/>
    </font>
    <font>
      <sz val="14"/>
      <color indexed="8"/>
      <name val="Times New Roman"/>
      <family val="2"/>
    </font>
    <font>
      <sz val="12"/>
      <name val=".VnArial Narrow"/>
      <family val="2"/>
    </font>
    <font>
      <sz val="12"/>
      <name val="Times New Roman"/>
      <family val="1"/>
    </font>
    <font>
      <sz val="12"/>
      <name val=".VnTime"/>
      <family val="2"/>
    </font>
    <font>
      <sz val="10"/>
      <name val="Arial"/>
      <family val="2"/>
    </font>
    <font>
      <sz val="13"/>
      <name val=".VnTime"/>
      <family val="2"/>
    </font>
    <font>
      <sz val="11"/>
      <name val="Times New Roman"/>
      <family val="1"/>
    </font>
    <font>
      <i/>
      <sz val="11"/>
      <name val="Times New Roman"/>
      <family val="1"/>
    </font>
    <font>
      <b/>
      <sz val="11"/>
      <name val="Times New Roman"/>
      <family val="1"/>
    </font>
    <font>
      <sz val="11"/>
      <name val="Calibri"/>
      <family val="2"/>
    </font>
    <font>
      <sz val="10"/>
      <name val=".VnTime"/>
      <family val="2"/>
    </font>
    <font>
      <sz val="11"/>
      <name val="Helvetica Neue"/>
      <family val="0"/>
    </font>
    <font>
      <sz val="11"/>
      <color indexed="8"/>
      <name val="Calibri"/>
      <family val="2"/>
    </font>
    <font>
      <sz val="10"/>
      <name val="Times New Roman"/>
      <family val="1"/>
    </font>
    <font>
      <b/>
      <sz val="9"/>
      <name val="Times New Roman"/>
      <family val="1"/>
    </font>
    <font>
      <sz val="10"/>
      <name val=".VnArial Narrow"/>
      <family val="2"/>
    </font>
    <font>
      <sz val="8"/>
      <name val="Tahoma"/>
      <family val="2"/>
    </font>
    <font>
      <sz val="9"/>
      <name val="Tahoma"/>
      <family val="2"/>
    </font>
    <font>
      <sz val="8"/>
      <name val="Times New Roman"/>
      <family val="1"/>
    </font>
    <font>
      <b/>
      <sz val="10"/>
      <name val="Times New Roman"/>
      <family val="1"/>
    </font>
    <font>
      <b/>
      <sz val="9"/>
      <name val="Tahoma"/>
      <family val="2"/>
    </font>
    <font>
      <b/>
      <i/>
      <sz val="11"/>
      <name val="Times New Roman"/>
      <family val="1"/>
    </font>
    <font>
      <u val="single"/>
      <sz val="11"/>
      <name val="Times New Roman"/>
      <family val="1"/>
    </font>
    <font>
      <b/>
      <u val="single"/>
      <sz val="11"/>
      <name val="Times New Roman"/>
      <family val="1"/>
    </font>
    <font>
      <i/>
      <u val="single"/>
      <sz val="11"/>
      <name val="Times New Roman"/>
      <family val="1"/>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4"/>
      <name val="Calibri Light"/>
      <family val="2"/>
    </font>
    <font>
      <b/>
      <sz val="14"/>
      <color indexed="8"/>
      <name val="Times New Roman"/>
      <family val="2"/>
    </font>
    <font>
      <sz val="14"/>
      <color indexed="10"/>
      <name val="Times New Roman"/>
      <family val="2"/>
    </font>
    <font>
      <b/>
      <sz val="11"/>
      <color indexed="10"/>
      <name val="Times New Roman"/>
      <family val="1"/>
    </font>
    <font>
      <sz val="11"/>
      <color indexed="8"/>
      <name val="Times New Roman"/>
      <family val="1"/>
    </font>
    <font>
      <sz val="11"/>
      <color indexed="10"/>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libri Light"/>
      <family val="2"/>
    </font>
    <font>
      <b/>
      <sz val="14"/>
      <color theme="1"/>
      <name val="Times New Roman"/>
      <family val="2"/>
    </font>
    <font>
      <sz val="14"/>
      <color rgb="FFFF0000"/>
      <name val="Times New Roman"/>
      <family val="2"/>
    </font>
    <font>
      <b/>
      <sz val="11"/>
      <color rgb="FFFF0000"/>
      <name val="Times New Roman"/>
      <family val="1"/>
    </font>
    <font>
      <sz val="11"/>
      <color theme="1"/>
      <name val="Times New Roman"/>
      <family val="1"/>
    </font>
    <font>
      <sz val="11"/>
      <color rgb="FFFF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style="thin"/>
      <bottom style="hair"/>
    </border>
    <border>
      <left style="thin"/>
      <right style="thin"/>
      <top style="hair"/>
      <bottom/>
    </border>
    <border>
      <left/>
      <right/>
      <top/>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7"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164" fontId="6"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4" fillId="0" borderId="0">
      <alignment/>
      <protection/>
    </xf>
    <xf numFmtId="0" fontId="13" fillId="0" borderId="0">
      <alignment/>
      <protection/>
    </xf>
    <xf numFmtId="0" fontId="4" fillId="0" borderId="0">
      <alignment/>
      <protection/>
    </xf>
    <xf numFmtId="0" fontId="56" fillId="0" borderId="6" applyNumberFormat="0" applyFill="0" applyAlignment="0" applyProtection="0"/>
    <xf numFmtId="0" fontId="57" fillId="31" borderId="0" applyNumberFormat="0" applyBorder="0" applyAlignment="0" applyProtection="0"/>
    <xf numFmtId="0" fontId="10" fillId="0" borderId="0">
      <alignment/>
      <protection/>
    </xf>
    <xf numFmtId="0" fontId="0" fillId="0" borderId="0">
      <alignment/>
      <protection/>
    </xf>
    <xf numFmtId="0" fontId="4" fillId="0" borderId="0">
      <alignment/>
      <protection/>
    </xf>
    <xf numFmtId="0" fontId="4" fillId="0" borderId="0">
      <alignment/>
      <protection/>
    </xf>
    <xf numFmtId="0" fontId="5" fillId="0" borderId="0">
      <alignment/>
      <protection/>
    </xf>
    <xf numFmtId="0" fontId="2" fillId="0" borderId="0">
      <alignment/>
      <protection/>
    </xf>
    <xf numFmtId="0" fontId="0" fillId="0" borderId="0">
      <alignment/>
      <protection/>
    </xf>
    <xf numFmtId="0" fontId="4" fillId="0" borderId="0">
      <alignment/>
      <protection/>
    </xf>
    <xf numFmtId="0" fontId="12" fillId="0" borderId="0">
      <alignment vertical="top"/>
      <protection/>
    </xf>
    <xf numFmtId="0" fontId="7" fillId="0" borderId="0">
      <alignment/>
      <protection/>
    </xf>
    <xf numFmtId="0" fontId="2" fillId="0" borderId="0">
      <alignment/>
      <protection/>
    </xf>
    <xf numFmtId="0" fontId="4" fillId="0" borderId="0">
      <alignment/>
      <protection/>
    </xf>
    <xf numFmtId="0" fontId="5" fillId="0" borderId="0">
      <alignment/>
      <protection/>
    </xf>
    <xf numFmtId="0" fontId="5" fillId="0" borderId="0">
      <alignment/>
      <protection/>
    </xf>
    <xf numFmtId="0" fontId="3" fillId="0" borderId="0">
      <alignment/>
      <protection/>
    </xf>
    <xf numFmtId="0" fontId="4" fillId="0" borderId="0">
      <alignment/>
      <protection/>
    </xf>
    <xf numFmtId="0" fontId="0" fillId="32" borderId="7" applyNumberFormat="0" applyFont="0" applyAlignment="0" applyProtection="0"/>
    <xf numFmtId="0" fontId="10" fillId="33" borderId="8">
      <alignment/>
      <protection/>
    </xf>
    <xf numFmtId="0" fontId="58" fillId="27" borderId="9"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cellStyleXfs>
  <cellXfs count="185">
    <xf numFmtId="0" fontId="0" fillId="0" borderId="0" xfId="0" applyFont="1" applyAlignment="1">
      <alignment/>
    </xf>
    <xf numFmtId="0" fontId="7" fillId="0" borderId="0" xfId="65" applyFont="1" applyFill="1" applyAlignment="1">
      <alignment horizontal="centerContinuous" vertical="center" wrapText="1"/>
      <protection/>
    </xf>
    <xf numFmtId="0" fontId="9" fillId="0" borderId="0" xfId="0" applyFont="1" applyFill="1" applyAlignment="1">
      <alignment vertical="center" wrapText="1"/>
    </xf>
    <xf numFmtId="0" fontId="7" fillId="0" borderId="0" xfId="65" applyFont="1" applyFill="1" applyAlignment="1">
      <alignment vertical="center" wrapText="1"/>
      <protection/>
    </xf>
    <xf numFmtId="0" fontId="8" fillId="0" borderId="0" xfId="65" applyFont="1" applyFill="1" applyAlignment="1">
      <alignment vertical="center" wrapText="1"/>
      <protection/>
    </xf>
    <xf numFmtId="0" fontId="62" fillId="0" borderId="0" xfId="65" applyFont="1" applyFill="1" applyAlignment="1" quotePrefix="1">
      <alignment horizontal="centerContinuous" vertical="center" wrapText="1"/>
      <protection/>
    </xf>
    <xf numFmtId="0" fontId="9" fillId="0" borderId="0" xfId="65" applyFont="1" applyFill="1" applyAlignment="1" quotePrefix="1">
      <alignment horizontal="centerContinuous" vertical="center" wrapText="1"/>
      <protection/>
    </xf>
    <xf numFmtId="0" fontId="7" fillId="0" borderId="0" xfId="0" applyFont="1" applyFill="1" applyBorder="1" applyAlignment="1">
      <alignment horizontal="right" vertical="center" wrapText="1"/>
    </xf>
    <xf numFmtId="3" fontId="9" fillId="0" borderId="0" xfId="75" applyNumberFormat="1" applyFont="1" applyFill="1" applyBorder="1" applyAlignment="1">
      <alignment horizontal="center" vertical="center" wrapText="1"/>
      <protection/>
    </xf>
    <xf numFmtId="3" fontId="7" fillId="0" borderId="11" xfId="75" applyNumberFormat="1" applyFont="1" applyFill="1" applyBorder="1" applyAlignment="1">
      <alignment horizontal="center" vertical="center" wrapText="1"/>
      <protection/>
    </xf>
    <xf numFmtId="0" fontId="9" fillId="0" borderId="0" xfId="0" applyFont="1" applyFill="1" applyAlignment="1">
      <alignment horizontal="centerContinuous" vertical="center" wrapText="1"/>
    </xf>
    <xf numFmtId="1" fontId="7" fillId="0" borderId="12" xfId="76" applyNumberFormat="1" applyFont="1" applyFill="1" applyBorder="1" applyAlignment="1">
      <alignment vertical="center" wrapText="1"/>
      <protection/>
    </xf>
    <xf numFmtId="4" fontId="7" fillId="34" borderId="12" xfId="60" applyNumberFormat="1" applyFont="1" applyFill="1" applyBorder="1" applyAlignment="1">
      <alignment horizontal="right" vertical="center"/>
      <protection/>
    </xf>
    <xf numFmtId="0" fontId="7" fillId="0" borderId="12" xfId="65" applyFont="1" applyFill="1" applyBorder="1" applyAlignment="1">
      <alignment vertical="center" wrapText="1"/>
      <protection/>
    </xf>
    <xf numFmtId="0" fontId="7" fillId="0" borderId="13" xfId="65" applyFont="1" applyFill="1" applyBorder="1" applyAlignment="1">
      <alignment vertical="center" wrapText="1"/>
      <protection/>
    </xf>
    <xf numFmtId="49" fontId="9" fillId="0" borderId="14" xfId="75" applyNumberFormat="1" applyFont="1" applyFill="1" applyBorder="1" applyAlignment="1">
      <alignment horizontal="center" vertical="center" wrapText="1"/>
      <protection/>
    </xf>
    <xf numFmtId="3" fontId="9" fillId="0" borderId="14" xfId="75" applyNumberFormat="1" applyFont="1" applyFill="1" applyBorder="1" applyAlignment="1">
      <alignment horizontal="center" vertical="center" wrapText="1"/>
      <protection/>
    </xf>
    <xf numFmtId="0" fontId="9" fillId="0" borderId="12" xfId="0" applyFont="1" applyFill="1" applyBorder="1" applyAlignment="1" quotePrefix="1">
      <alignment horizontal="center" vertical="center"/>
    </xf>
    <xf numFmtId="0" fontId="9" fillId="0" borderId="12" xfId="0" applyFont="1" applyFill="1" applyBorder="1" applyAlignment="1">
      <alignment horizontal="left" vertical="center" wrapText="1"/>
    </xf>
    <xf numFmtId="0" fontId="7" fillId="0" borderId="12" xfId="0" applyFont="1" applyFill="1" applyBorder="1" applyAlignment="1" quotePrefix="1">
      <alignment horizontal="center" vertical="center"/>
    </xf>
    <xf numFmtId="0" fontId="7" fillId="0" borderId="12" xfId="0" applyFont="1" applyFill="1" applyBorder="1" applyAlignment="1" quotePrefix="1">
      <alignment horizontal="left" vertical="center" wrapText="1"/>
    </xf>
    <xf numFmtId="0" fontId="8" fillId="0" borderId="12" xfId="0" applyFont="1" applyFill="1" applyBorder="1" applyAlignment="1" quotePrefix="1">
      <alignment horizontal="center" vertical="center"/>
    </xf>
    <xf numFmtId="0" fontId="8" fillId="0" borderId="12" xfId="0" applyFont="1" applyFill="1" applyBorder="1" applyAlignment="1" quotePrefix="1">
      <alignment horizontal="left" vertical="center" wrapText="1"/>
    </xf>
    <xf numFmtId="0" fontId="7" fillId="0" borderId="12" xfId="0" applyFont="1" applyFill="1" applyBorder="1" applyAlignment="1">
      <alignment horizontal="left" vertical="center" wrapText="1"/>
    </xf>
    <xf numFmtId="0" fontId="7" fillId="0" borderId="12" xfId="0" applyFont="1" applyFill="1" applyBorder="1" applyAlignment="1">
      <alignment vertical="center" wrapText="1"/>
    </xf>
    <xf numFmtId="0" fontId="9"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2" xfId="60" applyFont="1" applyFill="1" applyBorder="1" applyAlignment="1">
      <alignment vertical="center" wrapText="1"/>
      <protection/>
    </xf>
    <xf numFmtId="49" fontId="9" fillId="0" borderId="15" xfId="75" applyNumberFormat="1" applyFont="1" applyFill="1" applyBorder="1" applyAlignment="1">
      <alignment horizontal="center" vertical="center" wrapText="1"/>
      <protection/>
    </xf>
    <xf numFmtId="3" fontId="9" fillId="0" borderId="15" xfId="75" applyNumberFormat="1" applyFont="1" applyFill="1" applyBorder="1" applyAlignment="1">
      <alignment horizontal="center" vertical="center" wrapText="1"/>
      <protection/>
    </xf>
    <xf numFmtId="3" fontId="9" fillId="0" borderId="0" xfId="75" applyNumberFormat="1" applyFont="1" applyFill="1" applyAlignment="1">
      <alignment horizontal="center" vertical="center" wrapText="1"/>
      <protection/>
    </xf>
    <xf numFmtId="167" fontId="9" fillId="34" borderId="12" xfId="60" applyNumberFormat="1" applyFont="1" applyFill="1" applyBorder="1" applyAlignment="1">
      <alignment horizontal="center" vertical="center" wrapText="1"/>
      <protection/>
    </xf>
    <xf numFmtId="167" fontId="9" fillId="34" borderId="12" xfId="60" applyNumberFormat="1" applyFont="1" applyFill="1" applyBorder="1" applyAlignment="1">
      <alignment vertical="center" wrapText="1"/>
      <protection/>
    </xf>
    <xf numFmtId="0" fontId="63" fillId="0" borderId="12" xfId="0" applyFont="1" applyFill="1" applyBorder="1" applyAlignment="1">
      <alignment vertical="center" wrapText="1"/>
    </xf>
    <xf numFmtId="0" fontId="22" fillId="34" borderId="12" xfId="60" applyFont="1" applyFill="1" applyBorder="1" applyAlignment="1" quotePrefix="1">
      <alignment horizontal="center" vertical="center" wrapText="1"/>
      <protection/>
    </xf>
    <xf numFmtId="165" fontId="9" fillId="34" borderId="12" xfId="42" applyNumberFormat="1" applyFont="1" applyFill="1" applyBorder="1" applyAlignment="1">
      <alignment horizontal="right" vertical="center"/>
    </xf>
    <xf numFmtId="166" fontId="63" fillId="0" borderId="12" xfId="42" applyNumberFormat="1" applyFont="1" applyFill="1" applyBorder="1" applyAlignment="1">
      <alignment vertical="center" wrapText="1"/>
    </xf>
    <xf numFmtId="166" fontId="7" fillId="0" borderId="12" xfId="42" applyNumberFormat="1" applyFont="1" applyFill="1" applyBorder="1" applyAlignment="1">
      <alignment horizontal="center" vertical="center" wrapText="1"/>
    </xf>
    <xf numFmtId="0" fontId="63" fillId="0" borderId="0" xfId="0" applyFont="1" applyFill="1" applyAlignment="1">
      <alignment vertical="center" wrapText="1"/>
    </xf>
    <xf numFmtId="168" fontId="63" fillId="0" borderId="0" xfId="42" applyNumberFormat="1" applyFont="1" applyFill="1" applyAlignment="1">
      <alignment vertical="center" wrapText="1"/>
    </xf>
    <xf numFmtId="167" fontId="9" fillId="34" borderId="12" xfId="60" applyNumberFormat="1" applyFont="1" applyFill="1" applyBorder="1" applyAlignment="1" quotePrefix="1">
      <alignment horizontal="center" vertical="center" wrapText="1"/>
      <protection/>
    </xf>
    <xf numFmtId="3" fontId="63" fillId="0" borderId="0" xfId="0" applyNumberFormat="1" applyFont="1" applyFill="1" applyAlignment="1">
      <alignment vertical="center" wrapText="1"/>
    </xf>
    <xf numFmtId="167" fontId="7" fillId="34" borderId="12" xfId="60" applyNumberFormat="1" applyFont="1" applyFill="1" applyBorder="1" applyAlignment="1">
      <alignment horizontal="center" vertical="center" wrapText="1"/>
      <protection/>
    </xf>
    <xf numFmtId="167" fontId="7" fillId="34" borderId="12" xfId="60" applyNumberFormat="1" applyFont="1" applyFill="1" applyBorder="1" applyAlignment="1">
      <alignment vertical="center" wrapText="1"/>
      <protection/>
    </xf>
    <xf numFmtId="167" fontId="23" fillId="34" borderId="12" xfId="60" applyNumberFormat="1" applyFont="1" applyFill="1" applyBorder="1" applyAlignment="1">
      <alignment horizontal="center" vertical="center" wrapText="1"/>
      <protection/>
    </xf>
    <xf numFmtId="165" fontId="7" fillId="34" borderId="12" xfId="42" applyNumberFormat="1" applyFont="1" applyFill="1" applyBorder="1" applyAlignment="1">
      <alignment horizontal="right" vertical="center"/>
    </xf>
    <xf numFmtId="166" fontId="7" fillId="0" borderId="12" xfId="42" applyNumberFormat="1" applyFont="1" applyFill="1" applyBorder="1" applyAlignment="1">
      <alignment horizontal="right" vertical="center" wrapText="1"/>
    </xf>
    <xf numFmtId="167" fontId="24" fillId="34" borderId="12" xfId="60" applyNumberFormat="1" applyFont="1" applyFill="1" applyBorder="1" applyAlignment="1">
      <alignment horizontal="center" vertical="center" wrapText="1"/>
      <protection/>
    </xf>
    <xf numFmtId="0" fontId="64" fillId="0" borderId="12" xfId="0" applyFont="1" applyFill="1" applyBorder="1" applyAlignment="1">
      <alignment vertical="center" wrapText="1"/>
    </xf>
    <xf numFmtId="166" fontId="64" fillId="0" borderId="12" xfId="42" applyNumberFormat="1" applyFont="1" applyFill="1" applyBorder="1" applyAlignment="1">
      <alignment vertical="center" wrapText="1"/>
    </xf>
    <xf numFmtId="166" fontId="64" fillId="0" borderId="12" xfId="42" applyNumberFormat="1" applyFont="1" applyFill="1" applyBorder="1" applyAlignment="1">
      <alignment horizontal="right" vertical="center" wrapText="1"/>
    </xf>
    <xf numFmtId="166" fontId="64" fillId="0" borderId="12" xfId="42" applyNumberFormat="1" applyFont="1" applyFill="1" applyBorder="1" applyAlignment="1">
      <alignment horizontal="center" vertical="center" wrapText="1"/>
    </xf>
    <xf numFmtId="167" fontId="8" fillId="34" borderId="12" xfId="60" applyNumberFormat="1" applyFont="1" applyFill="1" applyBorder="1" applyAlignment="1">
      <alignment horizontal="center" vertical="center" wrapText="1"/>
      <protection/>
    </xf>
    <xf numFmtId="167" fontId="8" fillId="34" borderId="12" xfId="60" applyNumberFormat="1" applyFont="1" applyFill="1" applyBorder="1" applyAlignment="1">
      <alignment vertical="center" wrapText="1"/>
      <protection/>
    </xf>
    <xf numFmtId="167" fontId="25" fillId="34" borderId="12" xfId="60" applyNumberFormat="1" applyFont="1" applyFill="1" applyBorder="1" applyAlignment="1">
      <alignment horizontal="center" vertical="center" wrapText="1"/>
      <protection/>
    </xf>
    <xf numFmtId="165" fontId="8" fillId="34" borderId="12" xfId="42" applyNumberFormat="1" applyFont="1" applyFill="1" applyBorder="1" applyAlignment="1">
      <alignment horizontal="right" vertical="center"/>
    </xf>
    <xf numFmtId="166" fontId="7" fillId="0" borderId="12" xfId="42" applyNumberFormat="1" applyFont="1" applyFill="1" applyBorder="1" applyAlignment="1">
      <alignment vertical="center" wrapText="1"/>
    </xf>
    <xf numFmtId="167" fontId="8" fillId="34" borderId="12" xfId="60" applyNumberFormat="1" applyFont="1" applyFill="1" applyBorder="1" applyAlignment="1" quotePrefix="1">
      <alignment horizontal="center" vertical="center" wrapText="1"/>
      <protection/>
    </xf>
    <xf numFmtId="0" fontId="9" fillId="34" borderId="12" xfId="58" applyNumberFormat="1" applyFont="1" applyFill="1" applyBorder="1" applyAlignment="1">
      <alignment vertical="center" wrapText="1"/>
      <protection/>
    </xf>
    <xf numFmtId="4" fontId="9" fillId="34" borderId="12" xfId="42" applyNumberFormat="1" applyFont="1" applyFill="1" applyBorder="1" applyAlignment="1">
      <alignment horizontal="right" vertical="center"/>
    </xf>
    <xf numFmtId="167" fontId="7" fillId="34" borderId="12" xfId="60" applyNumberFormat="1" applyFont="1" applyFill="1" applyBorder="1" applyAlignment="1" quotePrefix="1">
      <alignment horizontal="center" vertical="center" wrapText="1"/>
      <protection/>
    </xf>
    <xf numFmtId="0" fontId="7" fillId="34" borderId="12" xfId="58" applyNumberFormat="1" applyFont="1" applyFill="1" applyBorder="1" applyAlignment="1">
      <alignment vertical="center" wrapText="1"/>
      <protection/>
    </xf>
    <xf numFmtId="167" fontId="9" fillId="34" borderId="12" xfId="58" applyNumberFormat="1" applyFont="1" applyFill="1" applyBorder="1" applyAlignment="1">
      <alignment horizontal="center" vertical="center" wrapText="1"/>
      <protection/>
    </xf>
    <xf numFmtId="167" fontId="9" fillId="34" borderId="12" xfId="42" applyNumberFormat="1" applyFont="1" applyFill="1" applyBorder="1" applyAlignment="1">
      <alignment horizontal="right" vertical="center"/>
    </xf>
    <xf numFmtId="167" fontId="9" fillId="34" borderId="12" xfId="58" applyNumberFormat="1" applyFont="1" applyFill="1" applyBorder="1" applyAlignment="1" quotePrefix="1">
      <alignment horizontal="center" vertical="center" wrapText="1"/>
      <protection/>
    </xf>
    <xf numFmtId="0" fontId="7" fillId="34" borderId="12" xfId="60" applyFont="1" applyFill="1" applyBorder="1" applyAlignment="1" quotePrefix="1">
      <alignment horizontal="center" vertical="center" wrapText="1"/>
      <protection/>
    </xf>
    <xf numFmtId="1" fontId="7" fillId="34" borderId="12" xfId="76" applyNumberFormat="1" applyFont="1" applyFill="1" applyBorder="1" applyAlignment="1">
      <alignment vertical="center" wrapText="1"/>
      <protection/>
    </xf>
    <xf numFmtId="3" fontId="7" fillId="34" borderId="12" xfId="58" applyNumberFormat="1" applyFont="1" applyFill="1" applyBorder="1" applyAlignment="1" quotePrefix="1">
      <alignment horizontal="center" vertical="center" wrapText="1"/>
      <protection/>
    </xf>
    <xf numFmtId="165" fontId="7" fillId="34" borderId="12" xfId="59" applyNumberFormat="1" applyFont="1" applyFill="1" applyBorder="1" applyAlignment="1">
      <alignment horizontal="right" vertical="center" wrapText="1"/>
      <protection/>
    </xf>
    <xf numFmtId="167" fontId="7" fillId="34" borderId="12" xfId="58" applyNumberFormat="1" applyFont="1" applyFill="1" applyBorder="1" applyAlignment="1">
      <alignment horizontal="right" vertical="center"/>
      <protection/>
    </xf>
    <xf numFmtId="167" fontId="7" fillId="34" borderId="12" xfId="59" applyNumberFormat="1" applyFont="1" applyFill="1" applyBorder="1" applyAlignment="1">
      <alignment horizontal="right" vertical="center" wrapText="1"/>
      <protection/>
    </xf>
    <xf numFmtId="3" fontId="7" fillId="34" borderId="12" xfId="60" applyNumberFormat="1" applyFont="1" applyFill="1" applyBorder="1" applyAlignment="1" quotePrefix="1">
      <alignment horizontal="center" vertical="center" wrapText="1"/>
      <protection/>
    </xf>
    <xf numFmtId="165" fontId="7" fillId="34" borderId="12" xfId="58" applyNumberFormat="1" applyFont="1" applyFill="1" applyBorder="1" applyAlignment="1">
      <alignment horizontal="right" vertical="center"/>
      <protection/>
    </xf>
    <xf numFmtId="1" fontId="7" fillId="34" borderId="12" xfId="76" applyNumberFormat="1" applyFont="1" applyFill="1" applyBorder="1" applyAlignment="1">
      <alignment horizontal="center" vertical="center" wrapText="1"/>
      <protection/>
    </xf>
    <xf numFmtId="4" fontId="7" fillId="34" borderId="12" xfId="42" applyNumberFormat="1" applyFont="1" applyFill="1" applyBorder="1" applyAlignment="1">
      <alignment horizontal="right" vertical="center"/>
    </xf>
    <xf numFmtId="0" fontId="9" fillId="34" borderId="12" xfId="58" applyFont="1" applyFill="1" applyBorder="1" applyAlignment="1" quotePrefix="1">
      <alignment horizontal="center" vertical="center" wrapText="1"/>
      <protection/>
    </xf>
    <xf numFmtId="1" fontId="9" fillId="34" borderId="12" xfId="75" applyNumberFormat="1" applyFont="1" applyFill="1" applyBorder="1" applyAlignment="1">
      <alignment vertical="center" wrapText="1"/>
      <protection/>
    </xf>
    <xf numFmtId="3" fontId="9" fillId="34" borderId="12" xfId="58" applyNumberFormat="1" applyFont="1" applyFill="1" applyBorder="1" applyAlignment="1" quotePrefix="1">
      <alignment horizontal="center" vertical="center" wrapText="1"/>
      <protection/>
    </xf>
    <xf numFmtId="4" fontId="9" fillId="34" borderId="12" xfId="59" applyNumberFormat="1" applyFont="1" applyFill="1" applyBorder="1" applyAlignment="1">
      <alignment horizontal="right" vertical="center" wrapText="1"/>
      <protection/>
    </xf>
    <xf numFmtId="0" fontId="7" fillId="34" borderId="12" xfId="58" applyFont="1" applyFill="1" applyBorder="1" applyAlignment="1" quotePrefix="1">
      <alignment horizontal="center" vertical="center" wrapText="1"/>
      <protection/>
    </xf>
    <xf numFmtId="0" fontId="7" fillId="34" borderId="12" xfId="58" applyFont="1" applyFill="1" applyBorder="1" applyAlignment="1">
      <alignment vertical="center" wrapText="1"/>
      <protection/>
    </xf>
    <xf numFmtId="4" fontId="7" fillId="34" borderId="12" xfId="59" applyNumberFormat="1" applyFont="1" applyFill="1" applyBorder="1" applyAlignment="1">
      <alignment horizontal="right" vertical="center" wrapText="1"/>
      <protection/>
    </xf>
    <xf numFmtId="4" fontId="7" fillId="34" borderId="12" xfId="58" applyNumberFormat="1" applyFont="1" applyFill="1" applyBorder="1" applyAlignment="1">
      <alignment horizontal="right" vertical="center"/>
      <protection/>
    </xf>
    <xf numFmtId="1" fontId="7" fillId="34" borderId="12" xfId="60" applyNumberFormat="1" applyFont="1" applyFill="1" applyBorder="1" applyAlignment="1">
      <alignment vertical="center" wrapText="1"/>
      <protection/>
    </xf>
    <xf numFmtId="4" fontId="7" fillId="34" borderId="12" xfId="45" applyNumberFormat="1" applyFont="1" applyFill="1" applyBorder="1" applyAlignment="1">
      <alignment horizontal="right" vertical="center"/>
    </xf>
    <xf numFmtId="0" fontId="7" fillId="34" borderId="12" xfId="0" applyFont="1" applyFill="1" applyBorder="1" applyAlignment="1">
      <alignment horizontal="left" vertical="center" wrapText="1"/>
    </xf>
    <xf numFmtId="0" fontId="7" fillId="34" borderId="12" xfId="0" applyFont="1" applyFill="1" applyBorder="1" applyAlignment="1">
      <alignment horizontal="center" vertical="center" wrapText="1"/>
    </xf>
    <xf numFmtId="4" fontId="7" fillId="34" borderId="12" xfId="60" applyNumberFormat="1" applyFont="1" applyFill="1" applyBorder="1" applyAlignment="1">
      <alignment vertical="center"/>
      <protection/>
    </xf>
    <xf numFmtId="4" fontId="7" fillId="34" borderId="12" xfId="42" applyNumberFormat="1" applyFont="1" applyFill="1" applyBorder="1" applyAlignment="1">
      <alignment vertical="center" wrapText="1"/>
    </xf>
    <xf numFmtId="166" fontId="7" fillId="34" borderId="12" xfId="42" applyNumberFormat="1" applyFont="1" applyFill="1" applyBorder="1" applyAlignment="1">
      <alignment horizontal="right" vertical="center"/>
    </xf>
    <xf numFmtId="1" fontId="7" fillId="34" borderId="12" xfId="76" applyNumberFormat="1" applyFont="1" applyFill="1" applyBorder="1" applyAlignment="1">
      <alignment horizontal="left" vertical="center" wrapText="1"/>
      <protection/>
    </xf>
    <xf numFmtId="167" fontId="7" fillId="34" borderId="12" xfId="60" applyNumberFormat="1" applyFont="1" applyFill="1" applyBorder="1" applyAlignment="1">
      <alignment horizontal="right" vertical="center"/>
      <protection/>
    </xf>
    <xf numFmtId="49" fontId="7" fillId="34" borderId="12" xfId="60" applyNumberFormat="1" applyFont="1" applyFill="1" applyBorder="1" applyAlignment="1">
      <alignment horizontal="left" vertical="center" wrapText="1"/>
      <protection/>
    </xf>
    <xf numFmtId="1" fontId="7" fillId="34" borderId="12" xfId="75" applyNumberFormat="1" applyFont="1" applyFill="1" applyBorder="1" applyAlignment="1" quotePrefix="1">
      <alignment horizontal="center" vertical="center" wrapText="1"/>
      <protection/>
    </xf>
    <xf numFmtId="1" fontId="9" fillId="34" borderId="12" xfId="75" applyNumberFormat="1" applyFont="1" applyFill="1" applyBorder="1" applyAlignment="1">
      <alignment horizontal="center" vertical="center" wrapText="1"/>
      <protection/>
    </xf>
    <xf numFmtId="4" fontId="9" fillId="34" borderId="12" xfId="42" applyNumberFormat="1" applyFont="1" applyFill="1" applyBorder="1" applyAlignment="1">
      <alignment vertical="center" wrapText="1"/>
    </xf>
    <xf numFmtId="4" fontId="7" fillId="34" borderId="12" xfId="42" applyNumberFormat="1" applyFont="1" applyFill="1" applyBorder="1" applyAlignment="1">
      <alignment horizontal="right" vertical="center" wrapText="1"/>
    </xf>
    <xf numFmtId="1" fontId="7" fillId="34" borderId="12" xfId="76" applyNumberFormat="1" applyFont="1" applyFill="1" applyBorder="1" applyAlignment="1" quotePrefix="1">
      <alignment horizontal="center" vertical="center" wrapText="1"/>
      <protection/>
    </xf>
    <xf numFmtId="1" fontId="7" fillId="34" borderId="12" xfId="75" applyNumberFormat="1" applyFont="1" applyFill="1" applyBorder="1" applyAlignment="1">
      <alignment horizontal="center" vertical="center" wrapText="1"/>
      <protection/>
    </xf>
    <xf numFmtId="4" fontId="7" fillId="34" borderId="12" xfId="75" applyNumberFormat="1" applyFont="1" applyFill="1" applyBorder="1" applyAlignment="1">
      <alignment vertical="center" wrapText="1"/>
      <protection/>
    </xf>
    <xf numFmtId="49" fontId="7" fillId="34" borderId="12" xfId="76" applyNumberFormat="1" applyFont="1" applyFill="1" applyBorder="1" applyAlignment="1" quotePrefix="1">
      <alignment horizontal="center" vertical="center" wrapText="1"/>
      <protection/>
    </xf>
    <xf numFmtId="49" fontId="7" fillId="34" borderId="12" xfId="58" applyNumberFormat="1" applyFont="1" applyFill="1" applyBorder="1" applyAlignment="1">
      <alignment vertical="center" wrapText="1"/>
      <protection/>
    </xf>
    <xf numFmtId="0" fontId="7" fillId="34" borderId="12" xfId="77" applyNumberFormat="1" applyFont="1" applyFill="1" applyBorder="1" applyAlignment="1">
      <alignment horizontal="left" vertical="center" wrapText="1"/>
      <protection/>
    </xf>
    <xf numFmtId="167" fontId="7" fillId="34" borderId="12" xfId="58" applyNumberFormat="1" applyFont="1" applyFill="1" applyBorder="1" applyAlignment="1" quotePrefix="1">
      <alignment horizontal="center" vertical="center" wrapText="1"/>
      <protection/>
    </xf>
    <xf numFmtId="0" fontId="7" fillId="34" borderId="12" xfId="78" applyNumberFormat="1" applyFont="1" applyFill="1" applyBorder="1" applyAlignment="1">
      <alignment horizontal="left" vertical="center" wrapText="1"/>
      <protection/>
    </xf>
    <xf numFmtId="0" fontId="7" fillId="34" borderId="12" xfId="60" applyFont="1" applyFill="1" applyBorder="1" applyAlignment="1">
      <alignment vertical="center" wrapText="1"/>
      <protection/>
    </xf>
    <xf numFmtId="0" fontId="7" fillId="34" borderId="12" xfId="60" applyNumberFormat="1" applyFont="1" applyFill="1" applyBorder="1" applyAlignment="1">
      <alignment vertical="center" wrapText="1"/>
      <protection/>
    </xf>
    <xf numFmtId="1" fontId="7" fillId="34" borderId="12" xfId="60" applyNumberFormat="1" applyFont="1" applyFill="1" applyBorder="1" applyAlignment="1" applyProtection="1">
      <alignment horizontal="left" vertical="center" wrapText="1"/>
      <protection/>
    </xf>
    <xf numFmtId="165" fontId="7" fillId="34" borderId="12" xfId="76" applyNumberFormat="1" applyFont="1" applyFill="1" applyBorder="1" applyAlignment="1">
      <alignment horizontal="right" vertical="center"/>
      <protection/>
    </xf>
    <xf numFmtId="3" fontId="7" fillId="34" borderId="12" xfId="76" applyNumberFormat="1" applyFont="1" applyFill="1" applyBorder="1" applyAlignment="1" quotePrefix="1">
      <alignment horizontal="center" vertical="center" wrapText="1"/>
      <protection/>
    </xf>
    <xf numFmtId="4" fontId="9" fillId="34" borderId="12" xfId="58" applyNumberFormat="1" applyFont="1" applyFill="1" applyBorder="1" applyAlignment="1">
      <alignment horizontal="right" vertical="center"/>
      <protection/>
    </xf>
    <xf numFmtId="0" fontId="9" fillId="34" borderId="12" xfId="78" applyNumberFormat="1" applyFont="1" applyFill="1" applyBorder="1" applyAlignment="1">
      <alignment horizontal="left" vertical="center" wrapText="1"/>
      <protection/>
    </xf>
    <xf numFmtId="49" fontId="7" fillId="34" borderId="12" xfId="60" applyNumberFormat="1" applyFont="1" applyFill="1" applyBorder="1" applyAlignment="1">
      <alignment vertical="center" wrapText="1"/>
      <protection/>
    </xf>
    <xf numFmtId="4" fontId="9" fillId="34" borderId="12" xfId="60" applyNumberFormat="1" applyFont="1" applyFill="1" applyBorder="1" applyAlignment="1">
      <alignment vertical="center"/>
      <protection/>
    </xf>
    <xf numFmtId="0" fontId="7" fillId="34" borderId="12" xfId="68" applyFont="1" applyFill="1" applyBorder="1" applyAlignment="1">
      <alignment horizontal="left" vertical="center" wrapText="1"/>
      <protection/>
    </xf>
    <xf numFmtId="0" fontId="7" fillId="34" borderId="12" xfId="0" applyFont="1" applyFill="1" applyBorder="1" applyAlignment="1">
      <alignment horizontal="justify" vertical="center" wrapText="1"/>
    </xf>
    <xf numFmtId="3" fontId="7" fillId="34" borderId="12" xfId="76" applyNumberFormat="1" applyFont="1" applyFill="1" applyBorder="1" applyAlignment="1">
      <alignment horizontal="left" vertical="center" wrapText="1"/>
      <protection/>
    </xf>
    <xf numFmtId="3" fontId="9" fillId="34" borderId="12" xfId="60" applyNumberFormat="1" applyFont="1" applyFill="1" applyBorder="1" applyAlignment="1" quotePrefix="1">
      <alignment horizontal="center" vertical="center" wrapText="1"/>
      <protection/>
    </xf>
    <xf numFmtId="4" fontId="7" fillId="34" borderId="12" xfId="60" applyNumberFormat="1" applyFont="1" applyFill="1" applyBorder="1" applyAlignment="1" quotePrefix="1">
      <alignment horizontal="right" vertical="center"/>
      <protection/>
    </xf>
    <xf numFmtId="0" fontId="9" fillId="34" borderId="12" xfId="68" applyFont="1" applyFill="1" applyBorder="1" applyAlignment="1">
      <alignment horizontal="left" vertical="center" wrapText="1"/>
      <protection/>
    </xf>
    <xf numFmtId="0" fontId="9" fillId="34" borderId="12" xfId="60" applyFont="1" applyFill="1" applyBorder="1" applyAlignment="1">
      <alignment vertical="center" wrapText="1"/>
      <protection/>
    </xf>
    <xf numFmtId="0" fontId="22" fillId="34" borderId="12" xfId="58" applyFont="1" applyFill="1" applyBorder="1" applyAlignment="1" quotePrefix="1">
      <alignment horizontal="center" vertical="center" wrapText="1"/>
      <protection/>
    </xf>
    <xf numFmtId="0" fontId="22" fillId="34" borderId="12" xfId="58" applyFont="1" applyFill="1" applyBorder="1" applyAlignment="1">
      <alignment vertical="center" wrapText="1"/>
      <protection/>
    </xf>
    <xf numFmtId="3" fontId="22" fillId="34" borderId="12" xfId="58" applyNumberFormat="1" applyFont="1" applyFill="1" applyBorder="1" applyAlignment="1" quotePrefix="1">
      <alignment horizontal="center" vertical="center" wrapText="1"/>
      <protection/>
    </xf>
    <xf numFmtId="4" fontId="63" fillId="0" borderId="12" xfId="0" applyNumberFormat="1" applyFont="1" applyFill="1" applyBorder="1" applyAlignment="1">
      <alignment vertical="center" wrapText="1"/>
    </xf>
    <xf numFmtId="4" fontId="22" fillId="34" borderId="12" xfId="58" applyNumberFormat="1" applyFont="1" applyFill="1" applyBorder="1" applyAlignment="1">
      <alignment horizontal="right" vertical="center"/>
      <protection/>
    </xf>
    <xf numFmtId="4" fontId="7" fillId="34" borderId="12" xfId="75" applyNumberFormat="1" applyFont="1" applyFill="1" applyBorder="1" applyAlignment="1">
      <alignment horizontal="right" vertical="center"/>
      <protection/>
    </xf>
    <xf numFmtId="4" fontId="22" fillId="34" borderId="12" xfId="59" applyNumberFormat="1" applyFont="1" applyFill="1" applyBorder="1" applyAlignment="1">
      <alignment horizontal="right" vertical="center" wrapText="1"/>
      <protection/>
    </xf>
    <xf numFmtId="4" fontId="7" fillId="0" borderId="12" xfId="58" applyNumberFormat="1" applyFont="1" applyFill="1" applyBorder="1" applyAlignment="1">
      <alignment horizontal="right" vertical="center" wrapText="1"/>
      <protection/>
    </xf>
    <xf numFmtId="4" fontId="7" fillId="34" borderId="12" xfId="76" applyNumberFormat="1" applyFont="1" applyFill="1" applyBorder="1" applyAlignment="1">
      <alignment horizontal="right" vertical="center"/>
      <protection/>
    </xf>
    <xf numFmtId="4" fontId="7" fillId="34" borderId="12" xfId="58" applyNumberFormat="1" applyFont="1" applyFill="1" applyBorder="1" applyAlignment="1">
      <alignment horizontal="left" vertical="center" wrapText="1"/>
      <protection/>
    </xf>
    <xf numFmtId="4" fontId="7" fillId="34" borderId="12" xfId="58" applyNumberFormat="1" applyFont="1" applyFill="1" applyBorder="1" applyAlignment="1">
      <alignment horizontal="right" vertical="center" wrapText="1"/>
      <protection/>
    </xf>
    <xf numFmtId="4" fontId="22" fillId="34" borderId="12" xfId="58" applyNumberFormat="1" applyFont="1" applyFill="1" applyBorder="1" applyAlignment="1" quotePrefix="1">
      <alignment horizontal="center" vertical="center" wrapText="1"/>
      <protection/>
    </xf>
    <xf numFmtId="4" fontId="22" fillId="34" borderId="12" xfId="58" applyNumberFormat="1" applyFont="1" applyFill="1" applyBorder="1" applyAlignment="1">
      <alignment horizontal="left" vertical="center" wrapText="1"/>
      <protection/>
    </xf>
    <xf numFmtId="4" fontId="22" fillId="34" borderId="12" xfId="58" applyNumberFormat="1" applyFont="1" applyFill="1" applyBorder="1" applyAlignment="1">
      <alignment horizontal="right" vertical="center" wrapText="1"/>
      <protection/>
    </xf>
    <xf numFmtId="167" fontId="9" fillId="34" borderId="12" xfId="58" applyNumberFormat="1" applyFont="1" applyFill="1" applyBorder="1" applyAlignment="1">
      <alignment vertical="center" wrapText="1"/>
      <protection/>
    </xf>
    <xf numFmtId="3" fontId="7" fillId="34" borderId="12" xfId="68" applyNumberFormat="1" applyFont="1" applyFill="1" applyBorder="1" applyAlignment="1">
      <alignment horizontal="left" vertical="center" wrapText="1"/>
      <protection/>
    </xf>
    <xf numFmtId="1" fontId="7" fillId="34" borderId="12" xfId="76" applyNumberFormat="1" applyFont="1" applyFill="1" applyBorder="1" applyAlignment="1" quotePrefix="1">
      <alignment vertical="center" wrapText="1"/>
      <protection/>
    </xf>
    <xf numFmtId="0" fontId="7" fillId="34" borderId="12" xfId="0" applyNumberFormat="1" applyFont="1" applyFill="1" applyBorder="1" applyAlignment="1">
      <alignment horizontal="left" vertical="center" wrapText="1"/>
    </xf>
    <xf numFmtId="1" fontId="9" fillId="34" borderId="12" xfId="58" applyNumberFormat="1" applyFont="1" applyFill="1" applyBorder="1" applyAlignment="1" applyProtection="1">
      <alignment horizontal="left" vertical="center" wrapText="1"/>
      <protection/>
    </xf>
    <xf numFmtId="0" fontId="7" fillId="34" borderId="12" xfId="0" applyFont="1" applyFill="1" applyBorder="1" applyAlignment="1">
      <alignment vertical="center" wrapText="1"/>
    </xf>
    <xf numFmtId="0" fontId="7" fillId="34" borderId="12" xfId="77" applyNumberFormat="1" applyFont="1" applyFill="1" applyBorder="1" applyAlignment="1" quotePrefix="1">
      <alignment horizontal="left" vertical="center" wrapText="1"/>
      <protection/>
    </xf>
    <xf numFmtId="0" fontId="9" fillId="34" borderId="12" xfId="0" applyNumberFormat="1" applyFont="1" applyFill="1" applyBorder="1" applyAlignment="1">
      <alignment horizontal="left" vertical="center" wrapText="1"/>
    </xf>
    <xf numFmtId="0" fontId="9" fillId="34" borderId="12" xfId="66" applyNumberFormat="1" applyFont="1" applyFill="1" applyBorder="1" applyAlignment="1">
      <alignment horizontal="left" vertical="center" wrapText="1"/>
      <protection/>
    </xf>
    <xf numFmtId="0" fontId="7" fillId="34" borderId="12" xfId="66" applyNumberFormat="1" applyFont="1" applyFill="1" applyBorder="1" applyAlignment="1">
      <alignment horizontal="left" vertical="center" wrapText="1"/>
      <protection/>
    </xf>
    <xf numFmtId="0" fontId="9" fillId="34" borderId="12" xfId="77" applyNumberFormat="1" applyFont="1" applyFill="1" applyBorder="1" applyAlignment="1">
      <alignment horizontal="left" vertical="center" wrapText="1"/>
      <protection/>
    </xf>
    <xf numFmtId="0" fontId="9"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3" fontId="9" fillId="0" borderId="12" xfId="0" applyNumberFormat="1" applyFont="1" applyFill="1" applyBorder="1" applyAlignment="1">
      <alignment horizontal="right" vertical="center"/>
    </xf>
    <xf numFmtId="1" fontId="7" fillId="0" borderId="12" xfId="75" applyNumberFormat="1" applyFont="1" applyFill="1" applyBorder="1" applyAlignment="1">
      <alignment horizontal="center" vertical="center" wrapText="1"/>
      <protection/>
    </xf>
    <xf numFmtId="3" fontId="7" fillId="0" borderId="12" xfId="0" applyNumberFormat="1" applyFont="1" applyFill="1" applyBorder="1" applyAlignment="1">
      <alignment horizontal="right" vertical="center"/>
    </xf>
    <xf numFmtId="168" fontId="7" fillId="0" borderId="12" xfId="42" applyNumberFormat="1" applyFont="1" applyFill="1" applyBorder="1" applyAlignment="1" quotePrefix="1">
      <alignment horizontal="right" vertical="center" wrapText="1"/>
    </xf>
    <xf numFmtId="1" fontId="8" fillId="0" borderId="12" xfId="75" applyNumberFormat="1" applyFont="1" applyFill="1" applyBorder="1" applyAlignment="1">
      <alignment horizontal="center" vertical="center" wrapText="1"/>
      <protection/>
    </xf>
    <xf numFmtId="3" fontId="8" fillId="0" borderId="12" xfId="0" applyNumberFormat="1" applyFont="1" applyFill="1" applyBorder="1" applyAlignment="1">
      <alignment horizontal="right" vertical="center"/>
    </xf>
    <xf numFmtId="168" fontId="8" fillId="0" borderId="12" xfId="42" applyNumberFormat="1" applyFont="1" applyFill="1" applyBorder="1" applyAlignment="1" quotePrefix="1">
      <alignment horizontal="right" vertical="center" wrapText="1"/>
    </xf>
    <xf numFmtId="1" fontId="7" fillId="0" borderId="12" xfId="75" applyNumberFormat="1" applyFont="1" applyFill="1" applyBorder="1" applyAlignment="1" quotePrefix="1">
      <alignment horizontal="center" vertical="center" wrapText="1"/>
      <protection/>
    </xf>
    <xf numFmtId="3" fontId="7" fillId="0" borderId="12" xfId="42" applyNumberFormat="1" applyFont="1" applyFill="1" applyBorder="1" applyAlignment="1" quotePrefix="1">
      <alignment horizontal="right" vertical="center" wrapText="1"/>
    </xf>
    <xf numFmtId="0" fontId="7" fillId="0" borderId="12" xfId="0" applyFont="1" applyFill="1" applyBorder="1" applyAlignment="1" quotePrefix="1">
      <alignment horizontal="center" vertical="center" wrapText="1"/>
    </xf>
    <xf numFmtId="0" fontId="9" fillId="0" borderId="12" xfId="0" applyFont="1" applyFill="1" applyBorder="1" applyAlignment="1" quotePrefix="1">
      <alignment horizontal="center" vertical="center" wrapText="1"/>
    </xf>
    <xf numFmtId="3" fontId="9" fillId="0" borderId="15" xfId="0" applyNumberFormat="1" applyFont="1" applyFill="1" applyBorder="1" applyAlignment="1">
      <alignment horizontal="right" vertical="center"/>
    </xf>
    <xf numFmtId="3" fontId="7" fillId="0" borderId="15" xfId="75" applyNumberFormat="1" applyFont="1" applyFill="1" applyBorder="1" applyAlignment="1">
      <alignment horizontal="center" vertical="center" wrapText="1"/>
      <protection/>
    </xf>
    <xf numFmtId="3" fontId="7" fillId="0" borderId="12" xfId="75" applyNumberFormat="1" applyFont="1" applyFill="1" applyBorder="1" applyAlignment="1">
      <alignment horizontal="center" vertical="center" wrapText="1"/>
      <protection/>
    </xf>
    <xf numFmtId="3" fontId="9" fillId="0" borderId="12" xfId="75" applyNumberFormat="1" applyFont="1" applyFill="1" applyBorder="1" applyAlignment="1">
      <alignment horizontal="center" vertical="center" wrapText="1"/>
      <protection/>
    </xf>
    <xf numFmtId="49" fontId="9" fillId="0" borderId="12" xfId="75" applyNumberFormat="1" applyFont="1" applyFill="1" applyBorder="1" applyAlignment="1">
      <alignment horizontal="center" vertical="center" wrapText="1"/>
      <protection/>
    </xf>
    <xf numFmtId="166" fontId="9" fillId="0" borderId="12" xfId="42" applyNumberFormat="1" applyFont="1" applyFill="1" applyBorder="1" applyAlignment="1">
      <alignment horizontal="center" vertical="center" wrapText="1"/>
    </xf>
    <xf numFmtId="1" fontId="7" fillId="0" borderId="12" xfId="79" applyNumberFormat="1" applyFont="1" applyFill="1" applyBorder="1" applyAlignment="1">
      <alignment vertical="center" wrapText="1"/>
    </xf>
    <xf numFmtId="0" fontId="9" fillId="0" borderId="16" xfId="0" applyFont="1" applyFill="1" applyBorder="1" applyAlignment="1" quotePrefix="1">
      <alignment horizontal="center" vertical="center"/>
    </xf>
    <xf numFmtId="1" fontId="9" fillId="0" borderId="16" xfId="79" applyNumberFormat="1" applyFont="1" applyFill="1" applyBorder="1" applyAlignment="1">
      <alignment vertical="center" wrapText="1"/>
    </xf>
    <xf numFmtId="3" fontId="9" fillId="0" borderId="12" xfId="0" applyNumberFormat="1" applyFont="1" applyFill="1" applyBorder="1" applyAlignment="1">
      <alignment vertical="center"/>
    </xf>
    <xf numFmtId="3" fontId="7" fillId="0" borderId="12" xfId="0" applyNumberFormat="1" applyFont="1" applyFill="1" applyBorder="1" applyAlignment="1">
      <alignment vertical="center"/>
    </xf>
    <xf numFmtId="3" fontId="7" fillId="0" borderId="12" xfId="79" applyNumberFormat="1" applyFont="1" applyFill="1" applyBorder="1" applyAlignment="1">
      <alignment horizontal="right" vertical="center" wrapText="1"/>
    </xf>
    <xf numFmtId="1" fontId="7" fillId="0" borderId="12" xfId="75" applyNumberFormat="1" applyFont="1" applyFill="1" applyBorder="1" applyAlignment="1">
      <alignment horizontal="right" vertical="center"/>
      <protection/>
    </xf>
    <xf numFmtId="3" fontId="7" fillId="0" borderId="12" xfId="75" applyNumberFormat="1" applyFont="1" applyFill="1" applyBorder="1" applyAlignment="1">
      <alignment horizontal="right" vertical="center"/>
      <protection/>
    </xf>
    <xf numFmtId="3" fontId="7" fillId="0" borderId="12" xfId="79" applyNumberFormat="1" applyFont="1" applyFill="1" applyBorder="1" applyAlignment="1">
      <alignment horizontal="center" vertical="center" wrapText="1"/>
    </xf>
    <xf numFmtId="3" fontId="9" fillId="0" borderId="16" xfId="79" applyNumberFormat="1" applyFont="1" applyFill="1" applyBorder="1" applyAlignment="1">
      <alignment horizontal="right" vertical="center" wrapText="1"/>
    </xf>
    <xf numFmtId="3" fontId="9" fillId="0" borderId="12" xfId="79" applyNumberFormat="1" applyFont="1" applyFill="1" applyBorder="1" applyAlignment="1">
      <alignment horizontal="right" vertical="center" wrapText="1"/>
    </xf>
    <xf numFmtId="165" fontId="7" fillId="0" borderId="12" xfId="79" applyNumberFormat="1" applyFont="1" applyFill="1" applyBorder="1" applyAlignment="1">
      <alignment horizontal="center" vertical="center" wrapText="1"/>
    </xf>
    <xf numFmtId="3" fontId="9" fillId="0" borderId="14" xfId="75" applyNumberFormat="1" applyFont="1" applyFill="1" applyBorder="1" applyAlignment="1">
      <alignment horizontal="right" vertical="center" wrapText="1"/>
      <protection/>
    </xf>
    <xf numFmtId="0" fontId="7" fillId="0" borderId="17" xfId="0" applyFont="1" applyFill="1" applyBorder="1" applyAlignment="1">
      <alignment horizontal="center" vertical="center" wrapText="1"/>
    </xf>
    <xf numFmtId="3" fontId="9" fillId="0" borderId="11" xfId="75" applyNumberFormat="1" applyFont="1" applyFill="1" applyBorder="1" applyAlignment="1">
      <alignment horizontal="center" vertical="center" wrapText="1"/>
      <protection/>
    </xf>
    <xf numFmtId="49" fontId="9" fillId="0" borderId="11" xfId="75" applyNumberFormat="1" applyFont="1" applyFill="1" applyBorder="1" applyAlignment="1">
      <alignment horizontal="center" vertical="center" wrapText="1"/>
      <protection/>
    </xf>
    <xf numFmtId="0" fontId="9" fillId="0" borderId="0" xfId="0" applyFont="1" applyFill="1" applyAlignment="1">
      <alignment horizontal="center" vertical="center" wrapText="1"/>
    </xf>
    <xf numFmtId="1" fontId="9" fillId="0" borderId="0" xfId="75" applyNumberFormat="1" applyFont="1" applyFill="1" applyAlignment="1">
      <alignment horizontal="center" vertical="center" wrapText="1"/>
      <protection/>
    </xf>
    <xf numFmtId="1" fontId="7" fillId="0" borderId="0" xfId="75" applyNumberFormat="1" applyFont="1" applyFill="1" applyAlignment="1">
      <alignment horizontal="center" vertical="center" wrapText="1"/>
      <protection/>
    </xf>
    <xf numFmtId="1" fontId="8" fillId="0" borderId="0" xfId="75" applyNumberFormat="1" applyFont="1" applyFill="1" applyAlignment="1">
      <alignment horizontal="center" vertical="center" wrapText="1"/>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5" xfId="45"/>
    <cellStyle name="Comma 7" xfId="46"/>
    <cellStyle name="Currency" xfId="47"/>
    <cellStyle name="Currency [0]" xfId="48"/>
    <cellStyle name="Currency 2" xfId="49"/>
    <cellStyle name="Explanatory Text" xfId="50"/>
    <cellStyle name="Good" xfId="51"/>
    <cellStyle name="HAI" xfId="52"/>
    <cellStyle name="Heading 1" xfId="53"/>
    <cellStyle name="Heading 2" xfId="54"/>
    <cellStyle name="Heading 3" xfId="55"/>
    <cellStyle name="Heading 4" xfId="56"/>
    <cellStyle name="Input" xfId="57"/>
    <cellStyle name="Ledger 17 x 11 in" xfId="58"/>
    <cellStyle name="Ledger 17 x 11 in 3" xfId="59"/>
    <cellStyle name="Ledger 17 x 11 in 4" xfId="60"/>
    <cellStyle name="Linked Cell" xfId="61"/>
    <cellStyle name="Neutral" xfId="62"/>
    <cellStyle name="Normal 10" xfId="63"/>
    <cellStyle name="Normal 17" xfId="64"/>
    <cellStyle name="Normal 2" xfId="65"/>
    <cellStyle name="Normal 2 24" xfId="66"/>
    <cellStyle name="Normal 3" xfId="67"/>
    <cellStyle name="Normal 4" xfId="68"/>
    <cellStyle name="Normal 5" xfId="69"/>
    <cellStyle name="Normal 6" xfId="70"/>
    <cellStyle name="Normal 6 2" xfId="71"/>
    <cellStyle name="Normal 7" xfId="72"/>
    <cellStyle name="Normal 8" xfId="73"/>
    <cellStyle name="Normal 9" xfId="74"/>
    <cellStyle name="Normal_Bieu mau (CV )" xfId="75"/>
    <cellStyle name="Normal_Bieu mau (CV ) 2 2" xfId="76"/>
    <cellStyle name="Normal_Danh muc du kien dau tu 2015 (16.06.2014)" xfId="77"/>
    <cellStyle name="Normal_Sheet1" xfId="78"/>
    <cellStyle name="Note" xfId="79"/>
    <cellStyle name="Note 2" xfId="80"/>
    <cellStyle name="Output" xfId="81"/>
    <cellStyle name="Percent" xfId="82"/>
    <cellStyle name="Style 1" xfId="83"/>
    <cellStyle name="Title" xfId="84"/>
    <cellStyle name="Total" xfId="85"/>
    <cellStyle name="Warning Text"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VnToolsExcel\VnTools-Excel.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50"/>
  <sheetViews>
    <sheetView showZeros="0" tabSelected="1" zoomScale="85" zoomScaleNormal="85" zoomScalePageLayoutView="0" workbookViewId="0" topLeftCell="A1">
      <pane ySplit="9" topLeftCell="A10" activePane="bottomLeft" state="frozen"/>
      <selection pane="topLeft" activeCell="A1" sqref="A1"/>
      <selection pane="bottomLeft" activeCell="D17" sqref="D17"/>
    </sheetView>
  </sheetViews>
  <sheetFormatPr defaultColWidth="12.8515625" defaultRowHeight="15"/>
  <cols>
    <col min="1" max="1" width="8.7109375" style="3" customWidth="1"/>
    <col min="2" max="2" width="41.8515625" style="3" customWidth="1"/>
    <col min="3" max="3" width="10.00390625" style="3" customWidth="1"/>
    <col min="4" max="4" width="8.421875" style="3" customWidth="1"/>
    <col min="5" max="5" width="9.140625" style="3" customWidth="1"/>
    <col min="6" max="6" width="14.421875" style="3" customWidth="1"/>
    <col min="7" max="7" width="14.140625" style="3" customWidth="1"/>
    <col min="8" max="8" width="10.57421875" style="3" customWidth="1"/>
    <col min="9" max="9" width="13.140625" style="3" customWidth="1"/>
    <col min="10" max="10" width="14.57421875" style="3" customWidth="1"/>
    <col min="11" max="11" width="14.140625" style="3" customWidth="1"/>
    <col min="12" max="12" width="7.00390625" style="3" customWidth="1"/>
    <col min="13" max="13" width="8.00390625" style="3" customWidth="1"/>
    <col min="14" max="14" width="14.00390625" style="3" customWidth="1"/>
    <col min="15" max="15" width="14.140625" style="3" customWidth="1"/>
    <col min="16" max="16" width="6.421875" style="3" customWidth="1"/>
    <col min="17" max="17" width="12.00390625" style="3" customWidth="1"/>
    <col min="18" max="18" width="14.140625" style="3" customWidth="1"/>
    <col min="19" max="19" width="12.57421875" style="3" customWidth="1"/>
    <col min="20" max="20" width="9.7109375" style="3" customWidth="1"/>
    <col min="21" max="21" width="11.140625" style="3" customWidth="1"/>
    <col min="22" max="22" width="12.421875" style="3" customWidth="1"/>
    <col min="23" max="25" width="0" style="3" hidden="1" customWidth="1"/>
    <col min="26" max="26" width="17.57421875" style="3" hidden="1" customWidth="1"/>
    <col min="27" max="28" width="0" style="3" hidden="1" customWidth="1"/>
    <col min="29" max="16384" width="12.8515625" style="3" customWidth="1"/>
  </cols>
  <sheetData>
    <row r="1" spans="1:22" ht="15">
      <c r="A1" s="181" t="s">
        <v>16</v>
      </c>
      <c r="B1" s="181"/>
      <c r="C1" s="1"/>
      <c r="D1" s="1"/>
      <c r="E1" s="1"/>
      <c r="F1" s="1"/>
      <c r="G1" s="1"/>
      <c r="H1" s="2"/>
      <c r="T1" s="10" t="s">
        <v>15</v>
      </c>
      <c r="U1" s="10"/>
      <c r="V1" s="10"/>
    </row>
    <row r="2" spans="1:22" ht="15">
      <c r="A2" s="182" t="s">
        <v>82</v>
      </c>
      <c r="B2" s="182"/>
      <c r="C2" s="182"/>
      <c r="D2" s="182"/>
      <c r="E2" s="182"/>
      <c r="F2" s="182"/>
      <c r="G2" s="182"/>
      <c r="H2" s="182"/>
      <c r="I2" s="182"/>
      <c r="J2" s="182"/>
      <c r="K2" s="182"/>
      <c r="L2" s="182"/>
      <c r="M2" s="182"/>
      <c r="N2" s="182"/>
      <c r="O2" s="182"/>
      <c r="P2" s="182"/>
      <c r="Q2" s="182"/>
      <c r="R2" s="182"/>
      <c r="S2" s="182"/>
      <c r="T2" s="182"/>
      <c r="U2" s="182"/>
      <c r="V2" s="182"/>
    </row>
    <row r="3" spans="1:22" ht="15">
      <c r="A3" s="183" t="s">
        <v>607</v>
      </c>
      <c r="B3" s="183"/>
      <c r="C3" s="183"/>
      <c r="D3" s="183"/>
      <c r="E3" s="183"/>
      <c r="F3" s="183"/>
      <c r="G3" s="183"/>
      <c r="H3" s="183"/>
      <c r="I3" s="183"/>
      <c r="J3" s="183"/>
      <c r="K3" s="183"/>
      <c r="L3" s="183"/>
      <c r="M3" s="183"/>
      <c r="N3" s="183"/>
      <c r="O3" s="183"/>
      <c r="P3" s="183"/>
      <c r="Q3" s="183"/>
      <c r="R3" s="183"/>
      <c r="S3" s="183"/>
      <c r="T3" s="183"/>
      <c r="U3" s="183"/>
      <c r="V3" s="183"/>
    </row>
    <row r="4" spans="1:22" s="4" customFormat="1" ht="15">
      <c r="A4" s="184" t="s">
        <v>608</v>
      </c>
      <c r="B4" s="184"/>
      <c r="C4" s="184"/>
      <c r="D4" s="184"/>
      <c r="E4" s="184"/>
      <c r="F4" s="184"/>
      <c r="G4" s="184"/>
      <c r="H4" s="184"/>
      <c r="I4" s="184"/>
      <c r="J4" s="184"/>
      <c r="K4" s="184"/>
      <c r="L4" s="184"/>
      <c r="M4" s="184"/>
      <c r="N4" s="184"/>
      <c r="O4" s="184"/>
      <c r="P4" s="184"/>
      <c r="Q4" s="184"/>
      <c r="R4" s="184"/>
      <c r="S4" s="184"/>
      <c r="T4" s="184"/>
      <c r="U4" s="184"/>
      <c r="V4" s="184"/>
    </row>
    <row r="5" spans="1:22" ht="15">
      <c r="A5" s="5"/>
      <c r="B5" s="6"/>
      <c r="C5" s="1"/>
      <c r="D5" s="1"/>
      <c r="E5" s="1"/>
      <c r="F5" s="1"/>
      <c r="G5" s="1"/>
      <c r="H5" s="1"/>
      <c r="I5" s="7"/>
      <c r="U5" s="178" t="s">
        <v>0</v>
      </c>
      <c r="V5" s="178"/>
    </row>
    <row r="6" spans="1:22" s="8" customFormat="1" ht="14.25">
      <c r="A6" s="180" t="s">
        <v>1</v>
      </c>
      <c r="B6" s="179" t="s">
        <v>5</v>
      </c>
      <c r="C6" s="179" t="s">
        <v>6</v>
      </c>
      <c r="D6" s="179" t="s">
        <v>7</v>
      </c>
      <c r="E6" s="179" t="s">
        <v>8</v>
      </c>
      <c r="F6" s="179" t="s">
        <v>9</v>
      </c>
      <c r="G6" s="179"/>
      <c r="H6" s="179"/>
      <c r="I6" s="179"/>
      <c r="J6" s="179"/>
      <c r="K6" s="179" t="s">
        <v>83</v>
      </c>
      <c r="L6" s="179"/>
      <c r="M6" s="179"/>
      <c r="N6" s="179"/>
      <c r="O6" s="179" t="s">
        <v>84</v>
      </c>
      <c r="P6" s="179"/>
      <c r="Q6" s="179"/>
      <c r="R6" s="179"/>
      <c r="S6" s="179" t="s">
        <v>85</v>
      </c>
      <c r="T6" s="179"/>
      <c r="U6" s="179"/>
      <c r="V6" s="179"/>
    </row>
    <row r="7" spans="1:22" s="8" customFormat="1" ht="14.25">
      <c r="A7" s="180"/>
      <c r="B7" s="179"/>
      <c r="C7" s="179"/>
      <c r="D7" s="179"/>
      <c r="E7" s="179"/>
      <c r="F7" s="179" t="s">
        <v>10</v>
      </c>
      <c r="G7" s="179" t="s">
        <v>11</v>
      </c>
      <c r="H7" s="179"/>
      <c r="I7" s="179"/>
      <c r="J7" s="179"/>
      <c r="K7" s="179"/>
      <c r="L7" s="179"/>
      <c r="M7" s="179"/>
      <c r="N7" s="179"/>
      <c r="O7" s="179"/>
      <c r="P7" s="179"/>
      <c r="Q7" s="179"/>
      <c r="R7" s="179"/>
      <c r="S7" s="179"/>
      <c r="T7" s="179"/>
      <c r="U7" s="179"/>
      <c r="V7" s="179"/>
    </row>
    <row r="8" spans="1:22" s="8" customFormat="1" ht="14.25">
      <c r="A8" s="180"/>
      <c r="B8" s="179"/>
      <c r="C8" s="179"/>
      <c r="D8" s="179"/>
      <c r="E8" s="179"/>
      <c r="F8" s="179"/>
      <c r="G8" s="179" t="s">
        <v>17</v>
      </c>
      <c r="H8" s="179" t="s">
        <v>12</v>
      </c>
      <c r="I8" s="179"/>
      <c r="J8" s="179"/>
      <c r="K8" s="179" t="s">
        <v>4</v>
      </c>
      <c r="L8" s="179" t="s">
        <v>12</v>
      </c>
      <c r="M8" s="179"/>
      <c r="N8" s="179"/>
      <c r="O8" s="179" t="s">
        <v>4</v>
      </c>
      <c r="P8" s="179" t="s">
        <v>12</v>
      </c>
      <c r="Q8" s="179"/>
      <c r="R8" s="179"/>
      <c r="S8" s="179" t="s">
        <v>4</v>
      </c>
      <c r="T8" s="179" t="s">
        <v>12</v>
      </c>
      <c r="U8" s="179"/>
      <c r="V8" s="179"/>
    </row>
    <row r="9" spans="1:29" s="8" customFormat="1" ht="90">
      <c r="A9" s="180"/>
      <c r="B9" s="179"/>
      <c r="C9" s="179"/>
      <c r="D9" s="179"/>
      <c r="E9" s="179"/>
      <c r="F9" s="179"/>
      <c r="G9" s="179"/>
      <c r="H9" s="9" t="s">
        <v>13</v>
      </c>
      <c r="I9" s="9" t="s">
        <v>14</v>
      </c>
      <c r="J9" s="9" t="s">
        <v>18</v>
      </c>
      <c r="K9" s="179"/>
      <c r="L9" s="9" t="s">
        <v>13</v>
      </c>
      <c r="M9" s="9" t="s">
        <v>14</v>
      </c>
      <c r="N9" s="9" t="s">
        <v>18</v>
      </c>
      <c r="O9" s="179"/>
      <c r="P9" s="9" t="s">
        <v>13</v>
      </c>
      <c r="Q9" s="9" t="s">
        <v>14</v>
      </c>
      <c r="R9" s="9" t="s">
        <v>18</v>
      </c>
      <c r="S9" s="179"/>
      <c r="T9" s="9" t="s">
        <v>13</v>
      </c>
      <c r="U9" s="9" t="s">
        <v>14</v>
      </c>
      <c r="V9" s="9" t="s">
        <v>18</v>
      </c>
      <c r="AC9" s="8">
        <f>S68</f>
        <v>1932029.9999999998</v>
      </c>
    </row>
    <row r="10" spans="1:22" s="8" customFormat="1" ht="14.25">
      <c r="A10" s="15"/>
      <c r="B10" s="16" t="s">
        <v>67</v>
      </c>
      <c r="C10" s="16"/>
      <c r="D10" s="16"/>
      <c r="E10" s="16"/>
      <c r="F10" s="16"/>
      <c r="G10" s="177"/>
      <c r="H10" s="177"/>
      <c r="I10" s="177"/>
      <c r="J10" s="177">
        <f aca="true" t="shared" si="0" ref="J10:V10">J11+J68</f>
        <v>0</v>
      </c>
      <c r="K10" s="177">
        <f t="shared" si="0"/>
        <v>0</v>
      </c>
      <c r="L10" s="177">
        <f t="shared" si="0"/>
        <v>0</v>
      </c>
      <c r="M10" s="177">
        <f t="shared" si="0"/>
        <v>0</v>
      </c>
      <c r="N10" s="177">
        <f t="shared" si="0"/>
        <v>0</v>
      </c>
      <c r="O10" s="177"/>
      <c r="P10" s="177"/>
      <c r="Q10" s="177"/>
      <c r="R10" s="177">
        <f t="shared" si="0"/>
        <v>0</v>
      </c>
      <c r="S10" s="177">
        <f t="shared" si="0"/>
        <v>4734019</v>
      </c>
      <c r="T10" s="177">
        <f t="shared" si="0"/>
        <v>76046</v>
      </c>
      <c r="U10" s="177">
        <f t="shared" si="0"/>
        <v>2725943</v>
      </c>
      <c r="V10" s="177">
        <f t="shared" si="0"/>
        <v>1932029.9999999998</v>
      </c>
    </row>
    <row r="11" spans="1:22" s="8" customFormat="1" ht="15">
      <c r="A11" s="28" t="s">
        <v>68</v>
      </c>
      <c r="B11" s="29" t="s">
        <v>522</v>
      </c>
      <c r="C11" s="29"/>
      <c r="D11" s="29"/>
      <c r="E11" s="29"/>
      <c r="F11" s="29"/>
      <c r="G11" s="159">
        <f>G12+G22+G25+G28+G42+G48+G52</f>
        <v>20797861.433000002</v>
      </c>
      <c r="H11" s="159">
        <f>H12+H22+H25+H28+H42+H48</f>
        <v>0</v>
      </c>
      <c r="I11" s="159">
        <f>I12+I22+I25+I28+I42+I48+I52</f>
        <v>13982343.677</v>
      </c>
      <c r="J11" s="160"/>
      <c r="K11" s="29"/>
      <c r="L11" s="160"/>
      <c r="M11" s="160"/>
      <c r="N11" s="160"/>
      <c r="O11" s="159">
        <f aca="true" t="shared" si="1" ref="O11:U11">O12+O22+O25+O28+O42+O48+O52</f>
        <v>11166008.38</v>
      </c>
      <c r="P11" s="159">
        <f t="shared" si="1"/>
        <v>0</v>
      </c>
      <c r="Q11" s="159">
        <f t="shared" si="1"/>
        <v>9273527.7</v>
      </c>
      <c r="R11" s="159">
        <f t="shared" si="1"/>
        <v>0</v>
      </c>
      <c r="S11" s="159">
        <f t="shared" si="1"/>
        <v>2801989</v>
      </c>
      <c r="T11" s="159">
        <f t="shared" si="1"/>
        <v>76046</v>
      </c>
      <c r="U11" s="159">
        <f t="shared" si="1"/>
        <v>2725943</v>
      </c>
      <c r="V11" s="160"/>
    </row>
    <row r="12" spans="1:22" s="8" customFormat="1" ht="42.75">
      <c r="A12" s="17" t="s">
        <v>2</v>
      </c>
      <c r="B12" s="18" t="s">
        <v>523</v>
      </c>
      <c r="C12" s="146"/>
      <c r="D12" s="146"/>
      <c r="E12" s="146"/>
      <c r="F12" s="25"/>
      <c r="G12" s="148">
        <f>SUM(G19:G21)+G13</f>
        <v>14218640</v>
      </c>
      <c r="H12" s="161"/>
      <c r="I12" s="148">
        <f>SUM(I19:I21)+I13</f>
        <v>10466105</v>
      </c>
      <c r="J12" s="161"/>
      <c r="K12" s="162"/>
      <c r="L12" s="161"/>
      <c r="M12" s="161"/>
      <c r="N12" s="161"/>
      <c r="O12" s="148">
        <v>7125210.7</v>
      </c>
      <c r="P12" s="161"/>
      <c r="Q12" s="148">
        <v>5517553.7</v>
      </c>
      <c r="R12" s="161"/>
      <c r="S12" s="148">
        <v>1757170</v>
      </c>
      <c r="T12" s="161"/>
      <c r="U12" s="148">
        <v>1757170</v>
      </c>
      <c r="V12" s="161"/>
    </row>
    <row r="13" spans="1:22" s="8" customFormat="1" ht="60">
      <c r="A13" s="19" t="s">
        <v>89</v>
      </c>
      <c r="B13" s="20" t="s">
        <v>524</v>
      </c>
      <c r="C13" s="149" t="s">
        <v>560</v>
      </c>
      <c r="D13" s="149" t="s">
        <v>566</v>
      </c>
      <c r="E13" s="149" t="s">
        <v>520</v>
      </c>
      <c r="F13" s="149" t="s">
        <v>573</v>
      </c>
      <c r="G13" s="150">
        <v>6800000</v>
      </c>
      <c r="H13" s="161"/>
      <c r="I13" s="151">
        <v>4497170</v>
      </c>
      <c r="J13" s="161"/>
      <c r="K13" s="162"/>
      <c r="L13" s="161"/>
      <c r="M13" s="161"/>
      <c r="N13" s="161"/>
      <c r="O13" s="150">
        <v>1782329.7</v>
      </c>
      <c r="P13" s="161"/>
      <c r="Q13" s="150">
        <v>1782329.7</v>
      </c>
      <c r="R13" s="161"/>
      <c r="S13" s="150">
        <v>1579170</v>
      </c>
      <c r="T13" s="161"/>
      <c r="U13" s="150">
        <v>1579170</v>
      </c>
      <c r="V13" s="161"/>
    </row>
    <row r="14" spans="1:22" s="8" customFormat="1" ht="15">
      <c r="A14" s="21"/>
      <c r="B14" s="22" t="s">
        <v>105</v>
      </c>
      <c r="C14" s="152"/>
      <c r="D14" s="152"/>
      <c r="E14" s="152"/>
      <c r="F14" s="152"/>
      <c r="G14" s="153"/>
      <c r="H14" s="161"/>
      <c r="I14" s="154"/>
      <c r="J14" s="161"/>
      <c r="K14" s="162"/>
      <c r="L14" s="161"/>
      <c r="M14" s="161"/>
      <c r="N14" s="161"/>
      <c r="O14" s="153"/>
      <c r="P14" s="161"/>
      <c r="Q14" s="153"/>
      <c r="R14" s="161"/>
      <c r="S14" s="153"/>
      <c r="T14" s="161"/>
      <c r="U14" s="153"/>
      <c r="V14" s="161"/>
    </row>
    <row r="15" spans="1:22" s="8" customFormat="1" ht="45">
      <c r="A15" s="19" t="s">
        <v>106</v>
      </c>
      <c r="B15" s="20" t="s">
        <v>525</v>
      </c>
      <c r="C15" s="149" t="s">
        <v>560</v>
      </c>
      <c r="D15" s="149"/>
      <c r="E15" s="155" t="s">
        <v>520</v>
      </c>
      <c r="F15" s="149" t="s">
        <v>573</v>
      </c>
      <c r="G15" s="150">
        <v>5384205</v>
      </c>
      <c r="H15" s="161"/>
      <c r="I15" s="151">
        <v>3081375</v>
      </c>
      <c r="J15" s="161"/>
      <c r="K15" s="162"/>
      <c r="L15" s="161"/>
      <c r="M15" s="161"/>
      <c r="N15" s="161"/>
      <c r="O15" s="150">
        <v>1044705</v>
      </c>
      <c r="P15" s="161"/>
      <c r="Q15" s="150">
        <v>1044705</v>
      </c>
      <c r="R15" s="161"/>
      <c r="S15" s="150">
        <v>1020999.6699999999</v>
      </c>
      <c r="T15" s="161"/>
      <c r="U15" s="150">
        <v>1020999.6699999999</v>
      </c>
      <c r="V15" s="161"/>
    </row>
    <row r="16" spans="1:22" s="8" customFormat="1" ht="75">
      <c r="A16" s="19" t="s">
        <v>106</v>
      </c>
      <c r="B16" s="20" t="s">
        <v>526</v>
      </c>
      <c r="C16" s="149" t="s">
        <v>96</v>
      </c>
      <c r="D16" s="149"/>
      <c r="E16" s="155" t="s">
        <v>520</v>
      </c>
      <c r="F16" s="149" t="s">
        <v>574</v>
      </c>
      <c r="G16" s="150">
        <f>H16</f>
        <v>0</v>
      </c>
      <c r="H16" s="161"/>
      <c r="I16" s="151">
        <v>1042359</v>
      </c>
      <c r="J16" s="161"/>
      <c r="K16" s="162"/>
      <c r="L16" s="161"/>
      <c r="M16" s="161"/>
      <c r="N16" s="161"/>
      <c r="O16" s="150">
        <v>439188.67000000004</v>
      </c>
      <c r="P16" s="161"/>
      <c r="Q16" s="150">
        <v>439188.67000000004</v>
      </c>
      <c r="R16" s="161"/>
      <c r="S16" s="150">
        <v>503170.33</v>
      </c>
      <c r="T16" s="161"/>
      <c r="U16" s="150">
        <v>503170.33</v>
      </c>
      <c r="V16" s="161"/>
    </row>
    <row r="17" spans="1:22" s="8" customFormat="1" ht="75">
      <c r="A17" s="19" t="s">
        <v>106</v>
      </c>
      <c r="B17" s="20" t="s">
        <v>527</v>
      </c>
      <c r="C17" s="149" t="s">
        <v>98</v>
      </c>
      <c r="D17" s="149"/>
      <c r="E17" s="155" t="s">
        <v>520</v>
      </c>
      <c r="F17" s="149" t="s">
        <v>575</v>
      </c>
      <c r="G17" s="150">
        <v>264876</v>
      </c>
      <c r="H17" s="161"/>
      <c r="I17" s="151">
        <v>264876</v>
      </c>
      <c r="J17" s="161"/>
      <c r="K17" s="162"/>
      <c r="L17" s="161"/>
      <c r="M17" s="161"/>
      <c r="N17" s="161"/>
      <c r="O17" s="150">
        <v>209876</v>
      </c>
      <c r="P17" s="161"/>
      <c r="Q17" s="150">
        <v>209876</v>
      </c>
      <c r="R17" s="161"/>
      <c r="S17" s="150">
        <v>55000</v>
      </c>
      <c r="T17" s="161"/>
      <c r="U17" s="150">
        <v>55000</v>
      </c>
      <c r="V17" s="161"/>
    </row>
    <row r="18" spans="1:22" s="8" customFormat="1" ht="75">
      <c r="A18" s="19" t="s">
        <v>106</v>
      </c>
      <c r="B18" s="20" t="s">
        <v>528</v>
      </c>
      <c r="C18" s="149" t="s">
        <v>102</v>
      </c>
      <c r="D18" s="149"/>
      <c r="E18" s="155" t="s">
        <v>520</v>
      </c>
      <c r="F18" s="149" t="s">
        <v>576</v>
      </c>
      <c r="G18" s="150">
        <v>108560</v>
      </c>
      <c r="H18" s="161"/>
      <c r="I18" s="150">
        <v>108560</v>
      </c>
      <c r="J18" s="161"/>
      <c r="K18" s="162"/>
      <c r="L18" s="161"/>
      <c r="M18" s="161"/>
      <c r="N18" s="161"/>
      <c r="O18" s="150">
        <v>88560</v>
      </c>
      <c r="P18" s="161"/>
      <c r="Q18" s="150">
        <v>88560</v>
      </c>
      <c r="R18" s="161"/>
      <c r="S18" s="150"/>
      <c r="T18" s="161"/>
      <c r="U18" s="150"/>
      <c r="V18" s="161"/>
    </row>
    <row r="19" spans="1:22" s="8" customFormat="1" ht="120">
      <c r="A19" s="19" t="s">
        <v>91</v>
      </c>
      <c r="B19" s="23" t="s">
        <v>41</v>
      </c>
      <c r="C19" s="147" t="s">
        <v>561</v>
      </c>
      <c r="D19" s="147"/>
      <c r="E19" s="147" t="s">
        <v>62</v>
      </c>
      <c r="F19" s="147" t="s">
        <v>577</v>
      </c>
      <c r="G19" s="150">
        <v>3753000</v>
      </c>
      <c r="H19" s="161"/>
      <c r="I19" s="150">
        <f>2100000+800000</f>
        <v>2900000</v>
      </c>
      <c r="J19" s="161"/>
      <c r="K19" s="162"/>
      <c r="L19" s="161"/>
      <c r="M19" s="161"/>
      <c r="N19" s="161"/>
      <c r="O19" s="150">
        <v>2960350</v>
      </c>
      <c r="P19" s="161"/>
      <c r="Q19" s="150">
        <v>2750000</v>
      </c>
      <c r="R19" s="161"/>
      <c r="S19" s="150">
        <v>0</v>
      </c>
      <c r="T19" s="161"/>
      <c r="U19" s="150"/>
      <c r="V19" s="161"/>
    </row>
    <row r="20" spans="1:22" s="8" customFormat="1" ht="135">
      <c r="A20" s="19" t="s">
        <v>93</v>
      </c>
      <c r="B20" s="23" t="s">
        <v>529</v>
      </c>
      <c r="C20" s="147" t="s">
        <v>562</v>
      </c>
      <c r="D20" s="147" t="s">
        <v>567</v>
      </c>
      <c r="E20" s="147" t="s">
        <v>20</v>
      </c>
      <c r="F20" s="147" t="s">
        <v>578</v>
      </c>
      <c r="G20" s="150">
        <v>1796705</v>
      </c>
      <c r="H20" s="161"/>
      <c r="I20" s="150">
        <v>1200000</v>
      </c>
      <c r="J20" s="161"/>
      <c r="K20" s="162"/>
      <c r="L20" s="161"/>
      <c r="M20" s="161"/>
      <c r="N20" s="161"/>
      <c r="O20" s="150">
        <v>597700</v>
      </c>
      <c r="P20" s="161"/>
      <c r="Q20" s="150">
        <v>597700</v>
      </c>
      <c r="R20" s="161"/>
      <c r="S20" s="150">
        <v>150000</v>
      </c>
      <c r="T20" s="161"/>
      <c r="U20" s="150">
        <v>150000</v>
      </c>
      <c r="V20" s="161"/>
    </row>
    <row r="21" spans="1:22" s="8" customFormat="1" ht="90">
      <c r="A21" s="19" t="s">
        <v>95</v>
      </c>
      <c r="B21" s="24" t="s">
        <v>530</v>
      </c>
      <c r="C21" s="147" t="s">
        <v>563</v>
      </c>
      <c r="D21" s="147"/>
      <c r="E21" s="147" t="s">
        <v>572</v>
      </c>
      <c r="F21" s="149" t="s">
        <v>579</v>
      </c>
      <c r="G21" s="156">
        <v>1868935</v>
      </c>
      <c r="H21" s="161"/>
      <c r="I21" s="156">
        <v>1868935</v>
      </c>
      <c r="J21" s="161"/>
      <c r="K21" s="162"/>
      <c r="L21" s="161"/>
      <c r="M21" s="161"/>
      <c r="N21" s="161"/>
      <c r="O21" s="156">
        <v>1784831</v>
      </c>
      <c r="P21" s="161"/>
      <c r="Q21" s="156">
        <v>387524</v>
      </c>
      <c r="R21" s="161"/>
      <c r="S21" s="156">
        <v>28000</v>
      </c>
      <c r="T21" s="161"/>
      <c r="U21" s="156">
        <v>28000</v>
      </c>
      <c r="V21" s="161"/>
    </row>
    <row r="22" spans="1:22" s="8" customFormat="1" ht="28.5">
      <c r="A22" s="25" t="s">
        <v>3</v>
      </c>
      <c r="B22" s="18" t="s">
        <v>531</v>
      </c>
      <c r="C22" s="146"/>
      <c r="D22" s="146"/>
      <c r="E22" s="146"/>
      <c r="F22" s="146"/>
      <c r="G22" s="148">
        <f>G23</f>
        <v>255810</v>
      </c>
      <c r="H22" s="161"/>
      <c r="I22" s="148">
        <f>I23</f>
        <v>200000</v>
      </c>
      <c r="J22" s="161"/>
      <c r="K22" s="162"/>
      <c r="L22" s="161"/>
      <c r="M22" s="161"/>
      <c r="N22" s="161"/>
      <c r="O22" s="148">
        <v>130500</v>
      </c>
      <c r="P22" s="161"/>
      <c r="Q22" s="148">
        <v>130500</v>
      </c>
      <c r="R22" s="161"/>
      <c r="S22" s="148">
        <v>19500</v>
      </c>
      <c r="T22" s="161"/>
      <c r="U22" s="148">
        <v>19500</v>
      </c>
      <c r="V22" s="161"/>
    </row>
    <row r="23" spans="1:22" s="8" customFormat="1" ht="28.5">
      <c r="A23" s="17" t="s">
        <v>211</v>
      </c>
      <c r="B23" s="18" t="s">
        <v>532</v>
      </c>
      <c r="C23" s="146"/>
      <c r="D23" s="146"/>
      <c r="E23" s="146"/>
      <c r="F23" s="146"/>
      <c r="G23" s="148">
        <f>G24</f>
        <v>255810</v>
      </c>
      <c r="H23" s="161"/>
      <c r="I23" s="148">
        <f>I24</f>
        <v>200000</v>
      </c>
      <c r="J23" s="161"/>
      <c r="K23" s="162"/>
      <c r="L23" s="161"/>
      <c r="M23" s="161"/>
      <c r="N23" s="161"/>
      <c r="O23" s="148">
        <v>130500</v>
      </c>
      <c r="P23" s="161"/>
      <c r="Q23" s="148">
        <v>130500</v>
      </c>
      <c r="R23" s="161"/>
      <c r="S23" s="148">
        <v>19500</v>
      </c>
      <c r="T23" s="161"/>
      <c r="U23" s="148">
        <v>19500</v>
      </c>
      <c r="V23" s="161"/>
    </row>
    <row r="24" spans="1:22" s="8" customFormat="1" ht="90">
      <c r="A24" s="19" t="s">
        <v>89</v>
      </c>
      <c r="B24" s="23" t="s">
        <v>172</v>
      </c>
      <c r="C24" s="147" t="s">
        <v>562</v>
      </c>
      <c r="D24" s="147"/>
      <c r="E24" s="147" t="s">
        <v>19</v>
      </c>
      <c r="F24" s="147" t="s">
        <v>580</v>
      </c>
      <c r="G24" s="150">
        <v>255810</v>
      </c>
      <c r="H24" s="161"/>
      <c r="I24" s="150">
        <v>200000</v>
      </c>
      <c r="J24" s="161"/>
      <c r="K24" s="162"/>
      <c r="L24" s="161"/>
      <c r="M24" s="161"/>
      <c r="N24" s="161"/>
      <c r="O24" s="150">
        <v>130500</v>
      </c>
      <c r="P24" s="161"/>
      <c r="Q24" s="150">
        <v>130500</v>
      </c>
      <c r="R24" s="161"/>
      <c r="S24" s="150">
        <v>19500</v>
      </c>
      <c r="T24" s="161"/>
      <c r="U24" s="150">
        <v>19500</v>
      </c>
      <c r="V24" s="161"/>
    </row>
    <row r="25" spans="1:22" s="8" customFormat="1" ht="15">
      <c r="A25" s="25" t="s">
        <v>21</v>
      </c>
      <c r="B25" s="18" t="s">
        <v>533</v>
      </c>
      <c r="C25" s="146"/>
      <c r="D25" s="146"/>
      <c r="E25" s="146"/>
      <c r="F25" s="146"/>
      <c r="G25" s="148">
        <f>G26</f>
        <v>208000</v>
      </c>
      <c r="H25" s="161"/>
      <c r="I25" s="148">
        <f>I26</f>
        <v>168000</v>
      </c>
      <c r="J25" s="161"/>
      <c r="K25" s="162"/>
      <c r="L25" s="161"/>
      <c r="M25" s="161"/>
      <c r="N25" s="161"/>
      <c r="O25" s="148">
        <v>144000</v>
      </c>
      <c r="P25" s="161"/>
      <c r="Q25" s="148">
        <v>142000</v>
      </c>
      <c r="R25" s="161"/>
      <c r="S25" s="148">
        <v>26000</v>
      </c>
      <c r="T25" s="161"/>
      <c r="U25" s="148">
        <v>26000</v>
      </c>
      <c r="V25" s="161"/>
    </row>
    <row r="26" spans="1:22" s="8" customFormat="1" ht="28.5">
      <c r="A26" s="17" t="s">
        <v>209</v>
      </c>
      <c r="B26" s="18" t="s">
        <v>534</v>
      </c>
      <c r="C26" s="146"/>
      <c r="D26" s="146"/>
      <c r="E26" s="146"/>
      <c r="F26" s="146"/>
      <c r="G26" s="148">
        <f>SUM(G27:G27)</f>
        <v>208000</v>
      </c>
      <c r="H26" s="161"/>
      <c r="I26" s="148">
        <f>SUM(I27:I27)</f>
        <v>168000</v>
      </c>
      <c r="J26" s="161"/>
      <c r="K26" s="162"/>
      <c r="L26" s="161"/>
      <c r="M26" s="161"/>
      <c r="N26" s="161"/>
      <c r="O26" s="148">
        <v>144000</v>
      </c>
      <c r="P26" s="161"/>
      <c r="Q26" s="148">
        <v>142000</v>
      </c>
      <c r="R26" s="161"/>
      <c r="S26" s="148">
        <v>26000</v>
      </c>
      <c r="T26" s="161"/>
      <c r="U26" s="148">
        <v>26000</v>
      </c>
      <c r="V26" s="161"/>
    </row>
    <row r="27" spans="1:22" s="8" customFormat="1" ht="135">
      <c r="A27" s="19" t="s">
        <v>89</v>
      </c>
      <c r="B27" s="23" t="s">
        <v>198</v>
      </c>
      <c r="C27" s="147" t="s">
        <v>562</v>
      </c>
      <c r="D27" s="147" t="s">
        <v>568</v>
      </c>
      <c r="E27" s="147" t="s">
        <v>19</v>
      </c>
      <c r="F27" s="147" t="s">
        <v>581</v>
      </c>
      <c r="G27" s="150">
        <v>208000</v>
      </c>
      <c r="H27" s="161"/>
      <c r="I27" s="150">
        <v>168000</v>
      </c>
      <c r="J27" s="161"/>
      <c r="K27" s="162"/>
      <c r="L27" s="161"/>
      <c r="M27" s="161"/>
      <c r="N27" s="161"/>
      <c r="O27" s="150">
        <v>144000</v>
      </c>
      <c r="P27" s="161"/>
      <c r="Q27" s="150">
        <v>142000</v>
      </c>
      <c r="R27" s="161"/>
      <c r="S27" s="150">
        <v>26000</v>
      </c>
      <c r="T27" s="161"/>
      <c r="U27" s="150">
        <v>26000</v>
      </c>
      <c r="V27" s="161"/>
    </row>
    <row r="28" spans="1:22" s="8" customFormat="1" ht="15">
      <c r="A28" s="17" t="s">
        <v>24</v>
      </c>
      <c r="B28" s="18" t="s">
        <v>535</v>
      </c>
      <c r="C28" s="146"/>
      <c r="D28" s="146"/>
      <c r="E28" s="146"/>
      <c r="F28" s="146"/>
      <c r="G28" s="148">
        <f>G29+G33+G40</f>
        <v>3362154.684</v>
      </c>
      <c r="H28" s="161"/>
      <c r="I28" s="148">
        <f>I29+I33+I40</f>
        <v>2859334.4280000003</v>
      </c>
      <c r="J28" s="161"/>
      <c r="K28" s="162"/>
      <c r="L28" s="161"/>
      <c r="M28" s="161"/>
      <c r="N28" s="161"/>
      <c r="O28" s="148">
        <v>2228818.68</v>
      </c>
      <c r="P28" s="161"/>
      <c r="Q28" s="148">
        <v>1967595</v>
      </c>
      <c r="R28" s="161"/>
      <c r="S28" s="148">
        <v>129046</v>
      </c>
      <c r="T28" s="161"/>
      <c r="U28" s="148">
        <v>129046</v>
      </c>
      <c r="V28" s="161"/>
    </row>
    <row r="29" spans="1:22" s="8" customFormat="1" ht="28.5">
      <c r="A29" s="17" t="s">
        <v>209</v>
      </c>
      <c r="B29" s="18" t="s">
        <v>536</v>
      </c>
      <c r="C29" s="146"/>
      <c r="D29" s="146"/>
      <c r="E29" s="146"/>
      <c r="F29" s="146"/>
      <c r="G29" s="148">
        <f>SUM(G30:G32)</f>
        <v>1483218</v>
      </c>
      <c r="H29" s="161"/>
      <c r="I29" s="148">
        <f>SUM(I30:I32)</f>
        <v>1180026</v>
      </c>
      <c r="J29" s="161"/>
      <c r="K29" s="162"/>
      <c r="L29" s="161"/>
      <c r="M29" s="161"/>
      <c r="N29" s="161"/>
      <c r="O29" s="148">
        <v>1281844.097</v>
      </c>
      <c r="P29" s="161"/>
      <c r="Q29" s="148">
        <v>1021820.417</v>
      </c>
      <c r="R29" s="161"/>
      <c r="S29" s="148">
        <v>0</v>
      </c>
      <c r="T29" s="161"/>
      <c r="U29" s="148">
        <v>0</v>
      </c>
      <c r="V29" s="161"/>
    </row>
    <row r="30" spans="1:22" s="8" customFormat="1" ht="90">
      <c r="A30" s="26" t="s">
        <v>89</v>
      </c>
      <c r="B30" s="23" t="s">
        <v>537</v>
      </c>
      <c r="C30" s="147" t="s">
        <v>564</v>
      </c>
      <c r="D30" s="147" t="s">
        <v>569</v>
      </c>
      <c r="E30" s="147" t="s">
        <v>63</v>
      </c>
      <c r="F30" s="147" t="s">
        <v>582</v>
      </c>
      <c r="G30" s="150">
        <v>598878</v>
      </c>
      <c r="H30" s="161"/>
      <c r="I30" s="150">
        <v>568000</v>
      </c>
      <c r="J30" s="161"/>
      <c r="K30" s="162"/>
      <c r="L30" s="161"/>
      <c r="M30" s="161"/>
      <c r="N30" s="161"/>
      <c r="O30" s="150">
        <v>552494.417</v>
      </c>
      <c r="P30" s="161"/>
      <c r="Q30" s="150">
        <v>522394.417</v>
      </c>
      <c r="R30" s="161"/>
      <c r="S30" s="150">
        <v>0</v>
      </c>
      <c r="T30" s="161"/>
      <c r="U30" s="150"/>
      <c r="V30" s="161"/>
    </row>
    <row r="31" spans="1:22" s="8" customFormat="1" ht="150" customHeight="1">
      <c r="A31" s="26" t="s">
        <v>91</v>
      </c>
      <c r="B31" s="11" t="s">
        <v>538</v>
      </c>
      <c r="C31" s="147" t="s">
        <v>98</v>
      </c>
      <c r="D31" s="147"/>
      <c r="E31" s="157" t="s">
        <v>62</v>
      </c>
      <c r="F31" s="147" t="s">
        <v>583</v>
      </c>
      <c r="G31" s="150">
        <v>699340</v>
      </c>
      <c r="H31" s="161"/>
      <c r="I31" s="150">
        <f>416000+16526</f>
        <v>432526</v>
      </c>
      <c r="J31" s="161"/>
      <c r="K31" s="162"/>
      <c r="L31" s="161"/>
      <c r="M31" s="161"/>
      <c r="N31" s="161"/>
      <c r="O31" s="150">
        <v>544349.68</v>
      </c>
      <c r="P31" s="161"/>
      <c r="Q31" s="150">
        <v>432426</v>
      </c>
      <c r="R31" s="161"/>
      <c r="S31" s="150">
        <v>0</v>
      </c>
      <c r="T31" s="161"/>
      <c r="U31" s="150">
        <v>0</v>
      </c>
      <c r="V31" s="161"/>
    </row>
    <row r="32" spans="1:22" s="8" customFormat="1" ht="105.75" customHeight="1">
      <c r="A32" s="26" t="s">
        <v>93</v>
      </c>
      <c r="B32" s="23" t="s">
        <v>539</v>
      </c>
      <c r="C32" s="147" t="s">
        <v>100</v>
      </c>
      <c r="D32" s="147" t="s">
        <v>570</v>
      </c>
      <c r="E32" s="147" t="s">
        <v>61</v>
      </c>
      <c r="F32" s="147" t="s">
        <v>584</v>
      </c>
      <c r="G32" s="150">
        <v>185000</v>
      </c>
      <c r="H32" s="161"/>
      <c r="I32" s="150">
        <v>179500</v>
      </c>
      <c r="J32" s="161"/>
      <c r="K32" s="162"/>
      <c r="L32" s="161"/>
      <c r="M32" s="161"/>
      <c r="N32" s="161"/>
      <c r="O32" s="150">
        <v>185000</v>
      </c>
      <c r="P32" s="161"/>
      <c r="Q32" s="150">
        <v>67000</v>
      </c>
      <c r="R32" s="161"/>
      <c r="S32" s="150">
        <v>0</v>
      </c>
      <c r="T32" s="161"/>
      <c r="U32" s="150">
        <v>0</v>
      </c>
      <c r="V32" s="161"/>
    </row>
    <row r="33" spans="1:22" s="8" customFormat="1" ht="28.5">
      <c r="A33" s="17" t="s">
        <v>211</v>
      </c>
      <c r="B33" s="18" t="s">
        <v>540</v>
      </c>
      <c r="C33" s="146"/>
      <c r="D33" s="146"/>
      <c r="E33" s="146"/>
      <c r="F33" s="146"/>
      <c r="G33" s="148">
        <f>SUM(G34:G39)</f>
        <v>1458936.684</v>
      </c>
      <c r="H33" s="161"/>
      <c r="I33" s="148">
        <f>SUM(I34:I39)</f>
        <v>1259308.428</v>
      </c>
      <c r="J33" s="161"/>
      <c r="K33" s="162"/>
      <c r="L33" s="161"/>
      <c r="M33" s="161"/>
      <c r="N33" s="161"/>
      <c r="O33" s="148">
        <v>946974.583</v>
      </c>
      <c r="P33" s="161"/>
      <c r="Q33" s="148">
        <v>945774.583</v>
      </c>
      <c r="R33" s="161"/>
      <c r="S33" s="148">
        <v>129046</v>
      </c>
      <c r="T33" s="161"/>
      <c r="U33" s="148">
        <v>129046</v>
      </c>
      <c r="V33" s="161"/>
    </row>
    <row r="34" spans="1:22" s="8" customFormat="1" ht="90">
      <c r="A34" s="19" t="s">
        <v>89</v>
      </c>
      <c r="B34" s="23" t="s">
        <v>541</v>
      </c>
      <c r="C34" s="147" t="s">
        <v>98</v>
      </c>
      <c r="D34" s="147"/>
      <c r="E34" s="147" t="s">
        <v>19</v>
      </c>
      <c r="F34" s="147" t="s">
        <v>585</v>
      </c>
      <c r="G34" s="150">
        <v>233573.428</v>
      </c>
      <c r="H34" s="161"/>
      <c r="I34" s="150">
        <v>233573.428</v>
      </c>
      <c r="J34" s="161"/>
      <c r="K34" s="162"/>
      <c r="L34" s="161"/>
      <c r="M34" s="161"/>
      <c r="N34" s="161"/>
      <c r="O34" s="150">
        <v>199175</v>
      </c>
      <c r="P34" s="161"/>
      <c r="Q34" s="150">
        <v>198675</v>
      </c>
      <c r="R34" s="161"/>
      <c r="S34" s="150">
        <v>20000</v>
      </c>
      <c r="T34" s="161"/>
      <c r="U34" s="150">
        <v>20000</v>
      </c>
      <c r="V34" s="161"/>
    </row>
    <row r="35" spans="1:22" s="8" customFormat="1" ht="90">
      <c r="A35" s="19" t="s">
        <v>91</v>
      </c>
      <c r="B35" s="23" t="s">
        <v>542</v>
      </c>
      <c r="C35" s="147" t="s">
        <v>96</v>
      </c>
      <c r="D35" s="147"/>
      <c r="E35" s="157" t="s">
        <v>19</v>
      </c>
      <c r="F35" s="147" t="s">
        <v>586</v>
      </c>
      <c r="G35" s="150">
        <v>176995.256</v>
      </c>
      <c r="H35" s="161"/>
      <c r="I35" s="150">
        <v>160000</v>
      </c>
      <c r="J35" s="161"/>
      <c r="K35" s="162"/>
      <c r="L35" s="161"/>
      <c r="M35" s="161"/>
      <c r="N35" s="161"/>
      <c r="O35" s="150">
        <v>112520</v>
      </c>
      <c r="P35" s="161"/>
      <c r="Q35" s="150">
        <v>112020</v>
      </c>
      <c r="R35" s="161"/>
      <c r="S35" s="150">
        <v>0</v>
      </c>
      <c r="T35" s="161"/>
      <c r="U35" s="150"/>
      <c r="V35" s="161"/>
    </row>
    <row r="36" spans="1:22" s="8" customFormat="1" ht="90">
      <c r="A36" s="19" t="s">
        <v>93</v>
      </c>
      <c r="B36" s="27" t="s">
        <v>543</v>
      </c>
      <c r="C36" s="147" t="s">
        <v>92</v>
      </c>
      <c r="D36" s="147"/>
      <c r="E36" s="157" t="s">
        <v>19</v>
      </c>
      <c r="F36" s="147" t="s">
        <v>587</v>
      </c>
      <c r="G36" s="150">
        <v>98000</v>
      </c>
      <c r="H36" s="161"/>
      <c r="I36" s="150">
        <v>74735</v>
      </c>
      <c r="J36" s="161"/>
      <c r="K36" s="162"/>
      <c r="L36" s="161"/>
      <c r="M36" s="161"/>
      <c r="N36" s="161"/>
      <c r="O36" s="150">
        <v>74200</v>
      </c>
      <c r="P36" s="161"/>
      <c r="Q36" s="150">
        <v>74000</v>
      </c>
      <c r="R36" s="161"/>
      <c r="S36" s="150">
        <v>735</v>
      </c>
      <c r="T36" s="161"/>
      <c r="U36" s="150">
        <v>735</v>
      </c>
      <c r="V36" s="161"/>
    </row>
    <row r="37" spans="1:22" s="8" customFormat="1" ht="90">
      <c r="A37" s="19" t="s">
        <v>95</v>
      </c>
      <c r="B37" s="27" t="s">
        <v>544</v>
      </c>
      <c r="C37" s="147" t="s">
        <v>100</v>
      </c>
      <c r="D37" s="147"/>
      <c r="E37" s="157" t="s">
        <v>19</v>
      </c>
      <c r="F37" s="147" t="s">
        <v>588</v>
      </c>
      <c r="G37" s="150">
        <v>329480</v>
      </c>
      <c r="H37" s="161"/>
      <c r="I37" s="150">
        <v>290000</v>
      </c>
      <c r="J37" s="161"/>
      <c r="K37" s="162"/>
      <c r="L37" s="161"/>
      <c r="M37" s="161"/>
      <c r="N37" s="161"/>
      <c r="O37" s="150">
        <v>223225.58299999998</v>
      </c>
      <c r="P37" s="161"/>
      <c r="Q37" s="150">
        <v>223225.58299999998</v>
      </c>
      <c r="R37" s="161"/>
      <c r="S37" s="150">
        <v>41774</v>
      </c>
      <c r="T37" s="161"/>
      <c r="U37" s="150">
        <v>41774</v>
      </c>
      <c r="V37" s="161"/>
    </row>
    <row r="38" spans="1:22" s="8" customFormat="1" ht="90">
      <c r="A38" s="19" t="s">
        <v>97</v>
      </c>
      <c r="B38" s="11" t="s">
        <v>545</v>
      </c>
      <c r="C38" s="147" t="s">
        <v>96</v>
      </c>
      <c r="D38" s="147"/>
      <c r="E38" s="157" t="s">
        <v>19</v>
      </c>
      <c r="F38" s="147" t="s">
        <v>589</v>
      </c>
      <c r="G38" s="150">
        <v>133888</v>
      </c>
      <c r="H38" s="161"/>
      <c r="I38" s="150">
        <v>111000</v>
      </c>
      <c r="J38" s="161"/>
      <c r="K38" s="162"/>
      <c r="L38" s="161"/>
      <c r="M38" s="161"/>
      <c r="N38" s="161"/>
      <c r="O38" s="150">
        <v>91390</v>
      </c>
      <c r="P38" s="161"/>
      <c r="Q38" s="150">
        <v>91390</v>
      </c>
      <c r="R38" s="161"/>
      <c r="S38" s="150">
        <v>19610</v>
      </c>
      <c r="T38" s="161"/>
      <c r="U38" s="150">
        <v>19610</v>
      </c>
      <c r="V38" s="161"/>
    </row>
    <row r="39" spans="1:22" s="8" customFormat="1" ht="90">
      <c r="A39" s="19" t="s">
        <v>99</v>
      </c>
      <c r="B39" s="23" t="s">
        <v>546</v>
      </c>
      <c r="C39" s="147" t="s">
        <v>565</v>
      </c>
      <c r="D39" s="147"/>
      <c r="E39" s="157" t="s">
        <v>19</v>
      </c>
      <c r="F39" s="147" t="s">
        <v>590</v>
      </c>
      <c r="G39" s="150">
        <v>487000</v>
      </c>
      <c r="H39" s="161"/>
      <c r="I39" s="150">
        <v>390000</v>
      </c>
      <c r="J39" s="161"/>
      <c r="K39" s="162"/>
      <c r="L39" s="161"/>
      <c r="M39" s="161"/>
      <c r="N39" s="161"/>
      <c r="O39" s="150">
        <v>246464</v>
      </c>
      <c r="P39" s="161"/>
      <c r="Q39" s="150">
        <v>246464</v>
      </c>
      <c r="R39" s="161"/>
      <c r="S39" s="150">
        <v>46927</v>
      </c>
      <c r="T39" s="161"/>
      <c r="U39" s="150">
        <v>46927</v>
      </c>
      <c r="V39" s="161"/>
    </row>
    <row r="40" spans="1:22" s="8" customFormat="1" ht="15">
      <c r="A40" s="17" t="s">
        <v>213</v>
      </c>
      <c r="B40" s="18" t="s">
        <v>547</v>
      </c>
      <c r="C40" s="146"/>
      <c r="D40" s="146"/>
      <c r="E40" s="158"/>
      <c r="F40" s="146"/>
      <c r="G40" s="148">
        <f>G41</f>
        <v>420000</v>
      </c>
      <c r="H40" s="161"/>
      <c r="I40" s="148">
        <f>I41</f>
        <v>420000</v>
      </c>
      <c r="J40" s="161"/>
      <c r="K40" s="162"/>
      <c r="L40" s="161"/>
      <c r="M40" s="161"/>
      <c r="N40" s="161"/>
      <c r="O40" s="148">
        <v>0</v>
      </c>
      <c r="P40" s="161"/>
      <c r="Q40" s="148">
        <v>0</v>
      </c>
      <c r="R40" s="161"/>
      <c r="S40" s="148">
        <v>0</v>
      </c>
      <c r="T40" s="161"/>
      <c r="U40" s="148">
        <v>0</v>
      </c>
      <c r="V40" s="161"/>
    </row>
    <row r="41" spans="1:22" s="8" customFormat="1" ht="45">
      <c r="A41" s="19" t="s">
        <v>89</v>
      </c>
      <c r="B41" s="23" t="s">
        <v>280</v>
      </c>
      <c r="C41" s="147" t="s">
        <v>100</v>
      </c>
      <c r="D41" s="147"/>
      <c r="E41" s="157" t="s">
        <v>520</v>
      </c>
      <c r="F41" s="147" t="s">
        <v>591</v>
      </c>
      <c r="G41" s="150">
        <v>420000</v>
      </c>
      <c r="H41" s="161"/>
      <c r="I41" s="150">
        <v>420000</v>
      </c>
      <c r="J41" s="161"/>
      <c r="K41" s="162"/>
      <c r="L41" s="161"/>
      <c r="M41" s="161"/>
      <c r="N41" s="161"/>
      <c r="O41" s="150"/>
      <c r="P41" s="161"/>
      <c r="Q41" s="150"/>
      <c r="R41" s="161"/>
      <c r="S41" s="150">
        <v>0</v>
      </c>
      <c r="T41" s="161"/>
      <c r="U41" s="150"/>
      <c r="V41" s="161"/>
    </row>
    <row r="42" spans="1:22" s="8" customFormat="1" ht="15">
      <c r="A42" s="17" t="s">
        <v>32</v>
      </c>
      <c r="B42" s="18" t="s">
        <v>548</v>
      </c>
      <c r="C42" s="146"/>
      <c r="D42" s="146"/>
      <c r="E42" s="146"/>
      <c r="F42" s="146"/>
      <c r="G42" s="148">
        <f>G45+G43</f>
        <v>293904.249</v>
      </c>
      <c r="H42" s="161"/>
      <c r="I42" s="148">
        <f>I45+I43</f>
        <v>288904.249</v>
      </c>
      <c r="J42" s="161"/>
      <c r="K42" s="162"/>
      <c r="L42" s="161"/>
      <c r="M42" s="161"/>
      <c r="N42" s="161"/>
      <c r="O42" s="148">
        <v>107600</v>
      </c>
      <c r="P42" s="161"/>
      <c r="Q42" s="148">
        <v>86000</v>
      </c>
      <c r="R42" s="161"/>
      <c r="S42" s="148">
        <v>8704</v>
      </c>
      <c r="T42" s="161"/>
      <c r="U42" s="148">
        <v>8704</v>
      </c>
      <c r="V42" s="161"/>
    </row>
    <row r="43" spans="1:22" s="8" customFormat="1" ht="28.5">
      <c r="A43" s="17" t="s">
        <v>209</v>
      </c>
      <c r="B43" s="18" t="s">
        <v>549</v>
      </c>
      <c r="C43" s="147"/>
      <c r="D43" s="146"/>
      <c r="E43" s="146"/>
      <c r="F43" s="146"/>
      <c r="G43" s="148">
        <f>G44</f>
        <v>123904.249</v>
      </c>
      <c r="H43" s="161"/>
      <c r="I43" s="148">
        <f>I44</f>
        <v>123904.249</v>
      </c>
      <c r="J43" s="161"/>
      <c r="K43" s="162"/>
      <c r="L43" s="161"/>
      <c r="M43" s="161"/>
      <c r="N43" s="161"/>
      <c r="O43" s="148">
        <v>104600</v>
      </c>
      <c r="P43" s="161"/>
      <c r="Q43" s="148">
        <v>86000</v>
      </c>
      <c r="R43" s="161"/>
      <c r="S43" s="148">
        <v>8704</v>
      </c>
      <c r="T43" s="161"/>
      <c r="U43" s="148">
        <v>8704</v>
      </c>
      <c r="V43" s="161"/>
    </row>
    <row r="44" spans="1:22" s="8" customFormat="1" ht="90">
      <c r="A44" s="26" t="s">
        <v>89</v>
      </c>
      <c r="B44" s="23" t="s">
        <v>550</v>
      </c>
      <c r="C44" s="147" t="s">
        <v>562</v>
      </c>
      <c r="D44" s="147" t="s">
        <v>571</v>
      </c>
      <c r="E44" s="147" t="s">
        <v>20</v>
      </c>
      <c r="F44" s="147" t="s">
        <v>592</v>
      </c>
      <c r="G44" s="150">
        <v>123904.249</v>
      </c>
      <c r="H44" s="161"/>
      <c r="I44" s="150">
        <v>123904.249</v>
      </c>
      <c r="J44" s="161"/>
      <c r="K44" s="162"/>
      <c r="L44" s="161"/>
      <c r="M44" s="161"/>
      <c r="N44" s="161"/>
      <c r="O44" s="150">
        <v>104600</v>
      </c>
      <c r="P44" s="161"/>
      <c r="Q44" s="150">
        <v>86000</v>
      </c>
      <c r="R44" s="161"/>
      <c r="S44" s="150">
        <v>8704</v>
      </c>
      <c r="T44" s="161"/>
      <c r="U44" s="150">
        <v>8704</v>
      </c>
      <c r="V44" s="161"/>
    </row>
    <row r="45" spans="1:22" s="8" customFormat="1" ht="28.5">
      <c r="A45" s="17" t="s">
        <v>211</v>
      </c>
      <c r="B45" s="18" t="s">
        <v>551</v>
      </c>
      <c r="C45" s="146"/>
      <c r="D45" s="146"/>
      <c r="E45" s="146"/>
      <c r="F45" s="146"/>
      <c r="G45" s="148">
        <f>SUM(G46:G47)</f>
        <v>170000</v>
      </c>
      <c r="H45" s="161"/>
      <c r="I45" s="148">
        <f>SUM(I46:I47)</f>
        <v>165000</v>
      </c>
      <c r="J45" s="161"/>
      <c r="K45" s="162"/>
      <c r="L45" s="161"/>
      <c r="M45" s="161"/>
      <c r="N45" s="161"/>
      <c r="O45" s="148">
        <v>3000</v>
      </c>
      <c r="P45" s="161"/>
      <c r="Q45" s="148">
        <v>0</v>
      </c>
      <c r="R45" s="161"/>
      <c r="S45" s="148">
        <v>0</v>
      </c>
      <c r="T45" s="161"/>
      <c r="U45" s="148">
        <v>0</v>
      </c>
      <c r="V45" s="161"/>
    </row>
    <row r="46" spans="1:22" s="8" customFormat="1" ht="45">
      <c r="A46" s="19" t="s">
        <v>89</v>
      </c>
      <c r="B46" s="23" t="s">
        <v>552</v>
      </c>
      <c r="C46" s="147" t="s">
        <v>100</v>
      </c>
      <c r="D46" s="147"/>
      <c r="E46" s="147" t="s">
        <v>520</v>
      </c>
      <c r="F46" s="147" t="s">
        <v>593</v>
      </c>
      <c r="G46" s="150">
        <v>95000</v>
      </c>
      <c r="H46" s="161"/>
      <c r="I46" s="150">
        <v>90000</v>
      </c>
      <c r="J46" s="161"/>
      <c r="K46" s="162"/>
      <c r="L46" s="161"/>
      <c r="M46" s="161"/>
      <c r="N46" s="161"/>
      <c r="O46" s="150">
        <v>3000</v>
      </c>
      <c r="P46" s="161"/>
      <c r="Q46" s="150"/>
      <c r="R46" s="161"/>
      <c r="S46" s="150">
        <v>0</v>
      </c>
      <c r="T46" s="161"/>
      <c r="U46" s="150"/>
      <c r="V46" s="161"/>
    </row>
    <row r="47" spans="1:22" s="8" customFormat="1" ht="45">
      <c r="A47" s="19" t="s">
        <v>91</v>
      </c>
      <c r="B47" s="23" t="s">
        <v>553</v>
      </c>
      <c r="C47" s="147" t="s">
        <v>100</v>
      </c>
      <c r="D47" s="147"/>
      <c r="E47" s="147" t="s">
        <v>518</v>
      </c>
      <c r="F47" s="147"/>
      <c r="G47" s="150">
        <v>75000</v>
      </c>
      <c r="H47" s="161"/>
      <c r="I47" s="150">
        <v>75000</v>
      </c>
      <c r="J47" s="161"/>
      <c r="K47" s="162"/>
      <c r="L47" s="161"/>
      <c r="M47" s="161"/>
      <c r="N47" s="161"/>
      <c r="O47" s="150"/>
      <c r="P47" s="161"/>
      <c r="Q47" s="150"/>
      <c r="R47" s="161"/>
      <c r="S47" s="150"/>
      <c r="T47" s="161"/>
      <c r="U47" s="150"/>
      <c r="V47" s="161"/>
    </row>
    <row r="48" spans="1:22" s="8" customFormat="1" ht="28.5">
      <c r="A48" s="17" t="s">
        <v>33</v>
      </c>
      <c r="B48" s="18" t="s">
        <v>554</v>
      </c>
      <c r="C48" s="146"/>
      <c r="D48" s="146"/>
      <c r="E48" s="146"/>
      <c r="F48" s="146"/>
      <c r="G48" s="148"/>
      <c r="H48" s="161"/>
      <c r="I48" s="148"/>
      <c r="J48" s="161"/>
      <c r="K48" s="162"/>
      <c r="L48" s="161"/>
      <c r="M48" s="161"/>
      <c r="N48" s="161"/>
      <c r="O48" s="148">
        <v>1429879</v>
      </c>
      <c r="P48" s="161"/>
      <c r="Q48" s="148">
        <v>1429879</v>
      </c>
      <c r="R48" s="161"/>
      <c r="S48" s="148">
        <v>785523</v>
      </c>
      <c r="T48" s="161"/>
      <c r="U48" s="148">
        <v>785523</v>
      </c>
      <c r="V48" s="161"/>
    </row>
    <row r="49" spans="1:22" s="8" customFormat="1" ht="30">
      <c r="A49" s="19" t="s">
        <v>89</v>
      </c>
      <c r="B49" s="24" t="s">
        <v>555</v>
      </c>
      <c r="C49" s="147"/>
      <c r="D49" s="147"/>
      <c r="E49" s="147"/>
      <c r="F49" s="147"/>
      <c r="G49" s="150"/>
      <c r="H49" s="161"/>
      <c r="I49" s="150"/>
      <c r="J49" s="161"/>
      <c r="K49" s="162"/>
      <c r="L49" s="161"/>
      <c r="M49" s="161"/>
      <c r="N49" s="161"/>
      <c r="O49" s="150">
        <v>350140</v>
      </c>
      <c r="P49" s="161"/>
      <c r="Q49" s="150">
        <v>350140</v>
      </c>
      <c r="R49" s="161"/>
      <c r="S49" s="150">
        <v>156385</v>
      </c>
      <c r="T49" s="161"/>
      <c r="U49" s="150">
        <v>156385</v>
      </c>
      <c r="V49" s="161"/>
    </row>
    <row r="50" spans="1:22" s="8" customFormat="1" ht="30">
      <c r="A50" s="19" t="s">
        <v>91</v>
      </c>
      <c r="B50" s="24" t="s">
        <v>556</v>
      </c>
      <c r="C50" s="147"/>
      <c r="D50" s="147"/>
      <c r="E50" s="147"/>
      <c r="F50" s="147"/>
      <c r="G50" s="150"/>
      <c r="H50" s="161"/>
      <c r="I50" s="150"/>
      <c r="J50" s="161"/>
      <c r="K50" s="162"/>
      <c r="L50" s="161"/>
      <c r="M50" s="161"/>
      <c r="N50" s="161"/>
      <c r="O50" s="150">
        <v>278558</v>
      </c>
      <c r="P50" s="161"/>
      <c r="Q50" s="150">
        <v>278558</v>
      </c>
      <c r="R50" s="161"/>
      <c r="S50" s="150">
        <v>135959</v>
      </c>
      <c r="T50" s="161"/>
      <c r="U50" s="150">
        <v>135959</v>
      </c>
      <c r="V50" s="161"/>
    </row>
    <row r="51" spans="1:22" s="8" customFormat="1" ht="60">
      <c r="A51" s="19" t="s">
        <v>93</v>
      </c>
      <c r="B51" s="24" t="s">
        <v>557</v>
      </c>
      <c r="C51" s="147"/>
      <c r="D51" s="147"/>
      <c r="E51" s="147"/>
      <c r="F51" s="147"/>
      <c r="G51" s="150"/>
      <c r="H51" s="161"/>
      <c r="I51" s="150"/>
      <c r="J51" s="161"/>
      <c r="K51" s="162"/>
      <c r="L51" s="161"/>
      <c r="M51" s="161"/>
      <c r="N51" s="161"/>
      <c r="O51" s="150">
        <v>801181</v>
      </c>
      <c r="P51" s="161"/>
      <c r="Q51" s="150">
        <v>801181</v>
      </c>
      <c r="R51" s="161"/>
      <c r="S51" s="150">
        <v>493179</v>
      </c>
      <c r="T51" s="161"/>
      <c r="U51" s="150">
        <v>493179</v>
      </c>
      <c r="V51" s="161"/>
    </row>
    <row r="52" spans="1:22" s="8" customFormat="1" ht="42.75">
      <c r="A52" s="25" t="s">
        <v>34</v>
      </c>
      <c r="B52" s="18" t="s">
        <v>595</v>
      </c>
      <c r="C52" s="147"/>
      <c r="D52" s="147"/>
      <c r="E52" s="147"/>
      <c r="F52" s="147"/>
      <c r="G52" s="168">
        <v>2459352.5</v>
      </c>
      <c r="H52" s="168"/>
      <c r="I52" s="150"/>
      <c r="J52" s="161"/>
      <c r="K52" s="162"/>
      <c r="L52" s="161"/>
      <c r="M52" s="161"/>
      <c r="N52" s="161"/>
      <c r="O52" s="150"/>
      <c r="P52" s="161"/>
      <c r="Q52" s="150"/>
      <c r="R52" s="161"/>
      <c r="S52" s="168">
        <v>76046</v>
      </c>
      <c r="T52" s="168">
        <v>76046</v>
      </c>
      <c r="U52" s="150"/>
      <c r="V52" s="161"/>
    </row>
    <row r="53" spans="1:22" s="8" customFormat="1" ht="28.5">
      <c r="A53" s="25" t="s">
        <v>154</v>
      </c>
      <c r="B53" s="18" t="s">
        <v>596</v>
      </c>
      <c r="C53" s="147"/>
      <c r="D53" s="147"/>
      <c r="E53" s="147"/>
      <c r="F53" s="147"/>
      <c r="G53" s="168">
        <v>471206</v>
      </c>
      <c r="H53" s="168"/>
      <c r="I53" s="150"/>
      <c r="J53" s="161"/>
      <c r="K53" s="162"/>
      <c r="L53" s="161"/>
      <c r="M53" s="161"/>
      <c r="N53" s="161"/>
      <c r="O53" s="150"/>
      <c r="P53" s="161"/>
      <c r="Q53" s="150"/>
      <c r="R53" s="161"/>
      <c r="S53" s="168">
        <v>9900</v>
      </c>
      <c r="T53" s="168">
        <v>9900</v>
      </c>
      <c r="U53" s="150"/>
      <c r="V53" s="161"/>
    </row>
    <row r="54" spans="1:22" s="8" customFormat="1" ht="15">
      <c r="A54" s="25"/>
      <c r="B54" s="18" t="s">
        <v>597</v>
      </c>
      <c r="C54" s="147"/>
      <c r="D54" s="147"/>
      <c r="E54" s="147"/>
      <c r="F54" s="147"/>
      <c r="G54" s="168">
        <v>471206</v>
      </c>
      <c r="H54" s="168"/>
      <c r="I54" s="150"/>
      <c r="J54" s="161"/>
      <c r="K54" s="162"/>
      <c r="L54" s="161"/>
      <c r="M54" s="161"/>
      <c r="N54" s="161"/>
      <c r="O54" s="150"/>
      <c r="P54" s="161"/>
      <c r="Q54" s="150"/>
      <c r="R54" s="161"/>
      <c r="S54" s="168">
        <v>9900</v>
      </c>
      <c r="T54" s="168">
        <v>9900</v>
      </c>
      <c r="U54" s="150"/>
      <c r="V54" s="161"/>
    </row>
    <row r="55" spans="1:22" s="8" customFormat="1" ht="28.5">
      <c r="A55" s="17" t="s">
        <v>209</v>
      </c>
      <c r="B55" s="18" t="s">
        <v>536</v>
      </c>
      <c r="C55" s="147"/>
      <c r="D55" s="147"/>
      <c r="E55" s="147"/>
      <c r="F55" s="147"/>
      <c r="G55" s="168">
        <v>413917</v>
      </c>
      <c r="H55" s="168"/>
      <c r="I55" s="150"/>
      <c r="J55" s="161"/>
      <c r="K55" s="162"/>
      <c r="L55" s="161"/>
      <c r="M55" s="161"/>
      <c r="N55" s="161"/>
      <c r="O55" s="150"/>
      <c r="P55" s="161"/>
      <c r="Q55" s="150"/>
      <c r="R55" s="161"/>
      <c r="S55" s="168">
        <v>0</v>
      </c>
      <c r="T55" s="168">
        <v>0</v>
      </c>
      <c r="U55" s="150"/>
      <c r="V55" s="161"/>
    </row>
    <row r="56" spans="1:22" s="8" customFormat="1" ht="30">
      <c r="A56" s="19" t="s">
        <v>89</v>
      </c>
      <c r="B56" s="23" t="s">
        <v>598</v>
      </c>
      <c r="C56" s="147"/>
      <c r="D56" s="147"/>
      <c r="E56" s="147"/>
      <c r="F56" s="147"/>
      <c r="G56" s="169">
        <v>413917</v>
      </c>
      <c r="H56" s="169"/>
      <c r="I56" s="150"/>
      <c r="J56" s="161"/>
      <c r="K56" s="162"/>
      <c r="L56" s="161"/>
      <c r="M56" s="161"/>
      <c r="N56" s="161"/>
      <c r="O56" s="150"/>
      <c r="P56" s="161"/>
      <c r="Q56" s="150"/>
      <c r="R56" s="161"/>
      <c r="S56" s="169">
        <v>0</v>
      </c>
      <c r="T56" s="169">
        <v>0</v>
      </c>
      <c r="U56" s="150"/>
      <c r="V56" s="161"/>
    </row>
    <row r="57" spans="1:22" s="8" customFormat="1" ht="15">
      <c r="A57" s="17" t="s">
        <v>211</v>
      </c>
      <c r="B57" s="18" t="s">
        <v>547</v>
      </c>
      <c r="C57" s="147"/>
      <c r="D57" s="147"/>
      <c r="E57" s="147"/>
      <c r="F57" s="147"/>
      <c r="G57" s="168">
        <v>57289</v>
      </c>
      <c r="H57" s="168"/>
      <c r="I57" s="150"/>
      <c r="J57" s="161"/>
      <c r="K57" s="162"/>
      <c r="L57" s="161"/>
      <c r="M57" s="161"/>
      <c r="N57" s="161"/>
      <c r="O57" s="150"/>
      <c r="P57" s="161"/>
      <c r="Q57" s="150"/>
      <c r="R57" s="161"/>
      <c r="S57" s="168">
        <v>9900</v>
      </c>
      <c r="T57" s="168">
        <v>9900</v>
      </c>
      <c r="U57" s="150"/>
      <c r="V57" s="161"/>
    </row>
    <row r="58" spans="1:22" s="8" customFormat="1" ht="75">
      <c r="A58" s="19" t="s">
        <v>89</v>
      </c>
      <c r="B58" s="165" t="s">
        <v>599</v>
      </c>
      <c r="C58" s="147"/>
      <c r="D58" s="147"/>
      <c r="E58" s="147"/>
      <c r="F58" s="147"/>
      <c r="G58" s="170">
        <v>47389</v>
      </c>
      <c r="H58" s="171"/>
      <c r="I58" s="150"/>
      <c r="J58" s="161"/>
      <c r="K58" s="162"/>
      <c r="L58" s="161"/>
      <c r="M58" s="161"/>
      <c r="N58" s="161"/>
      <c r="O58" s="150"/>
      <c r="P58" s="161"/>
      <c r="Q58" s="150"/>
      <c r="R58" s="161"/>
      <c r="S58" s="170"/>
      <c r="T58" s="170"/>
      <c r="U58" s="150"/>
      <c r="V58" s="161"/>
    </row>
    <row r="59" spans="1:22" s="8" customFormat="1" ht="60">
      <c r="A59" s="19" t="s">
        <v>91</v>
      </c>
      <c r="B59" s="165" t="s">
        <v>600</v>
      </c>
      <c r="C59" s="147"/>
      <c r="D59" s="147"/>
      <c r="E59" s="147"/>
      <c r="F59" s="147"/>
      <c r="G59" s="172">
        <v>9900</v>
      </c>
      <c r="H59" s="172"/>
      <c r="I59" s="150"/>
      <c r="J59" s="161"/>
      <c r="K59" s="162"/>
      <c r="L59" s="161"/>
      <c r="M59" s="161"/>
      <c r="N59" s="161"/>
      <c r="O59" s="150"/>
      <c r="P59" s="161"/>
      <c r="Q59" s="150"/>
      <c r="R59" s="161"/>
      <c r="S59" s="172">
        <v>9900</v>
      </c>
      <c r="T59" s="172">
        <v>9900</v>
      </c>
      <c r="U59" s="150"/>
      <c r="V59" s="161"/>
    </row>
    <row r="60" spans="1:22" s="8" customFormat="1" ht="15">
      <c r="A60" s="25" t="s">
        <v>184</v>
      </c>
      <c r="B60" s="18" t="s">
        <v>164</v>
      </c>
      <c r="C60" s="147"/>
      <c r="D60" s="147"/>
      <c r="E60" s="147"/>
      <c r="F60" s="147"/>
      <c r="G60" s="168">
        <v>1988146.5</v>
      </c>
      <c r="H60" s="168"/>
      <c r="I60" s="150"/>
      <c r="J60" s="161"/>
      <c r="K60" s="162"/>
      <c r="L60" s="161"/>
      <c r="M60" s="161"/>
      <c r="N60" s="161"/>
      <c r="O60" s="150"/>
      <c r="P60" s="161"/>
      <c r="Q60" s="150"/>
      <c r="R60" s="161"/>
      <c r="S60" s="168">
        <v>0</v>
      </c>
      <c r="T60" s="168">
        <v>0</v>
      </c>
      <c r="U60" s="150"/>
      <c r="V60" s="161"/>
    </row>
    <row r="61" spans="1:22" s="8" customFormat="1" ht="15">
      <c r="A61" s="25"/>
      <c r="B61" s="18" t="s">
        <v>601</v>
      </c>
      <c r="C61" s="147"/>
      <c r="D61" s="147"/>
      <c r="E61" s="147"/>
      <c r="F61" s="147"/>
      <c r="G61" s="168">
        <v>1988146.5</v>
      </c>
      <c r="H61" s="168"/>
      <c r="I61" s="150"/>
      <c r="J61" s="161"/>
      <c r="K61" s="162"/>
      <c r="L61" s="161"/>
      <c r="M61" s="161"/>
      <c r="N61" s="161"/>
      <c r="O61" s="150"/>
      <c r="P61" s="161"/>
      <c r="Q61" s="150"/>
      <c r="R61" s="161"/>
      <c r="S61" s="168">
        <v>0</v>
      </c>
      <c r="T61" s="168">
        <v>0</v>
      </c>
      <c r="U61" s="150"/>
      <c r="V61" s="161"/>
    </row>
    <row r="62" spans="1:22" s="8" customFormat="1" ht="15">
      <c r="A62" s="25">
        <v>1</v>
      </c>
      <c r="B62" s="18" t="s">
        <v>547</v>
      </c>
      <c r="C62" s="147"/>
      <c r="D62" s="147"/>
      <c r="E62" s="147"/>
      <c r="F62" s="147"/>
      <c r="G62" s="168">
        <v>1988146.5</v>
      </c>
      <c r="H62" s="168"/>
      <c r="I62" s="150"/>
      <c r="J62" s="161"/>
      <c r="K62" s="162"/>
      <c r="L62" s="161"/>
      <c r="M62" s="161"/>
      <c r="N62" s="161"/>
      <c r="O62" s="150"/>
      <c r="P62" s="161"/>
      <c r="Q62" s="150"/>
      <c r="R62" s="161"/>
      <c r="S62" s="168">
        <v>0</v>
      </c>
      <c r="T62" s="168">
        <v>0</v>
      </c>
      <c r="U62" s="150"/>
      <c r="V62" s="161"/>
    </row>
    <row r="63" spans="1:22" s="8" customFormat="1" ht="60">
      <c r="A63" s="19" t="s">
        <v>89</v>
      </c>
      <c r="B63" s="165" t="s">
        <v>602</v>
      </c>
      <c r="C63" s="147"/>
      <c r="D63" s="147"/>
      <c r="E63" s="147"/>
      <c r="F63" s="147"/>
      <c r="G63" s="173">
        <v>998199.5</v>
      </c>
      <c r="H63" s="173"/>
      <c r="I63" s="150"/>
      <c r="J63" s="161"/>
      <c r="K63" s="162"/>
      <c r="L63" s="161"/>
      <c r="M63" s="161"/>
      <c r="N63" s="161"/>
      <c r="O63" s="150"/>
      <c r="P63" s="161"/>
      <c r="Q63" s="150"/>
      <c r="R63" s="161"/>
      <c r="S63" s="170">
        <v>0</v>
      </c>
      <c r="T63" s="170">
        <v>0</v>
      </c>
      <c r="U63" s="150"/>
      <c r="V63" s="161"/>
    </row>
    <row r="64" spans="1:22" s="8" customFormat="1" ht="90">
      <c r="A64" s="19" t="s">
        <v>91</v>
      </c>
      <c r="B64" s="165" t="s">
        <v>603</v>
      </c>
      <c r="C64" s="147"/>
      <c r="D64" s="147"/>
      <c r="E64" s="147"/>
      <c r="F64" s="147"/>
      <c r="G64" s="173">
        <v>989947</v>
      </c>
      <c r="H64" s="173"/>
      <c r="I64" s="150"/>
      <c r="J64" s="161"/>
      <c r="K64" s="162"/>
      <c r="L64" s="161"/>
      <c r="M64" s="161"/>
      <c r="N64" s="161"/>
      <c r="O64" s="150"/>
      <c r="P64" s="161"/>
      <c r="Q64" s="150"/>
      <c r="R64" s="161"/>
      <c r="S64" s="170"/>
      <c r="T64" s="170"/>
      <c r="U64" s="150"/>
      <c r="V64" s="161"/>
    </row>
    <row r="65" spans="1:22" s="8" customFormat="1" ht="28.5">
      <c r="A65" s="166" t="s">
        <v>606</v>
      </c>
      <c r="B65" s="167" t="s">
        <v>604</v>
      </c>
      <c r="C65" s="147"/>
      <c r="D65" s="147"/>
      <c r="E65" s="147"/>
      <c r="F65" s="147"/>
      <c r="G65" s="174"/>
      <c r="H65" s="174"/>
      <c r="I65" s="150"/>
      <c r="J65" s="161"/>
      <c r="K65" s="162"/>
      <c r="L65" s="161"/>
      <c r="M65" s="161"/>
      <c r="N65" s="161"/>
      <c r="O65" s="150"/>
      <c r="P65" s="161"/>
      <c r="Q65" s="150"/>
      <c r="R65" s="161"/>
      <c r="S65" s="175">
        <v>66146</v>
      </c>
      <c r="T65" s="175">
        <v>66146</v>
      </c>
      <c r="U65" s="150"/>
      <c r="V65" s="161"/>
    </row>
    <row r="66" spans="1:22" s="8" customFormat="1" ht="15">
      <c r="A66" s="17" t="s">
        <v>209</v>
      </c>
      <c r="B66" s="18" t="s">
        <v>547</v>
      </c>
      <c r="C66" s="147"/>
      <c r="D66" s="147"/>
      <c r="E66" s="147"/>
      <c r="F66" s="147"/>
      <c r="G66" s="174">
        <v>197882</v>
      </c>
      <c r="H66" s="174"/>
      <c r="I66" s="150"/>
      <c r="J66" s="161"/>
      <c r="K66" s="162"/>
      <c r="L66" s="161"/>
      <c r="M66" s="161"/>
      <c r="N66" s="161"/>
      <c r="O66" s="150"/>
      <c r="P66" s="161"/>
      <c r="Q66" s="150"/>
      <c r="R66" s="161"/>
      <c r="S66" s="174">
        <v>66146</v>
      </c>
      <c r="T66" s="174">
        <v>66146</v>
      </c>
      <c r="U66" s="150"/>
      <c r="V66" s="161"/>
    </row>
    <row r="67" spans="1:22" s="8" customFormat="1" ht="60">
      <c r="A67" s="19" t="s">
        <v>89</v>
      </c>
      <c r="B67" s="165" t="s">
        <v>605</v>
      </c>
      <c r="C67" s="147"/>
      <c r="D67" s="147"/>
      <c r="E67" s="147"/>
      <c r="F67" s="147"/>
      <c r="G67" s="176">
        <v>197882</v>
      </c>
      <c r="H67" s="176"/>
      <c r="I67" s="150"/>
      <c r="J67" s="161"/>
      <c r="K67" s="162"/>
      <c r="L67" s="161"/>
      <c r="M67" s="161"/>
      <c r="N67" s="161"/>
      <c r="O67" s="150"/>
      <c r="P67" s="161"/>
      <c r="Q67" s="150"/>
      <c r="R67" s="161"/>
      <c r="S67" s="170">
        <v>66146</v>
      </c>
      <c r="T67" s="170">
        <v>66146</v>
      </c>
      <c r="U67" s="150"/>
      <c r="V67" s="161"/>
    </row>
    <row r="68" spans="1:24" s="30" customFormat="1" ht="14.25">
      <c r="A68" s="163" t="s">
        <v>75</v>
      </c>
      <c r="B68" s="162" t="s">
        <v>594</v>
      </c>
      <c r="C68" s="162"/>
      <c r="D68" s="162"/>
      <c r="E68" s="162"/>
      <c r="F68" s="162"/>
      <c r="G68" s="164">
        <f>SUM(H68:J68)</f>
        <v>0</v>
      </c>
      <c r="H68" s="164">
        <f>+H69+H118+H152+H163+H176+H191+H201</f>
        <v>0</v>
      </c>
      <c r="I68" s="164">
        <f>+I69+I118+I152+I163+I176+I191+I201</f>
        <v>0</v>
      </c>
      <c r="J68" s="164">
        <f>+J69+J118+J152+J163+J176+J191+J201</f>
        <v>0</v>
      </c>
      <c r="K68" s="164">
        <f>SUM(L68:N68)</f>
        <v>0</v>
      </c>
      <c r="L68" s="164">
        <f>+L69+L118+L152+L163+L176+L191+L201</f>
        <v>0</v>
      </c>
      <c r="M68" s="164">
        <f>+M69+M118+M152+M163+M176+M191+M201</f>
        <v>0</v>
      </c>
      <c r="N68" s="164">
        <f>+N69+N118+N152+N163+N176+N191+N201</f>
        <v>0</v>
      </c>
      <c r="O68" s="164">
        <f>SUM(P68:R68)</f>
        <v>0</v>
      </c>
      <c r="P68" s="164">
        <f>+P69+P118+P152+P163+P176+P191+P201</f>
        <v>0</v>
      </c>
      <c r="Q68" s="164">
        <f>+Q69+Q118+Q152+Q163+Q176+Q191+Q201</f>
        <v>0</v>
      </c>
      <c r="R68" s="164">
        <f>+R69+R118+R152+R163+R176+R191+R201</f>
        <v>0</v>
      </c>
      <c r="S68" s="35">
        <f>S69+S88+S90+S91+S94+S135+S241+S260+S432+S440+S441+S443+S448+S133+S444+S442+S446+S89+S447</f>
        <v>1932029.9999999998</v>
      </c>
      <c r="T68" s="164">
        <f>+T69+T118+T152+T163+T176+T191+T201</f>
        <v>0</v>
      </c>
      <c r="U68" s="164">
        <f>+U69+U118+U152+U163+U176+U191+U201</f>
        <v>0</v>
      </c>
      <c r="V68" s="35">
        <f>V69+V88+V90+V91+V94+V135+V241+V260+V432+V440+V441+V443+V448+V133+V444+V442+V446+V89+V447</f>
        <v>1932029.9999999998</v>
      </c>
      <c r="W68" s="30">
        <v>828102</v>
      </c>
      <c r="X68" s="30">
        <f>W68-V68</f>
        <v>-1103927.9999999998</v>
      </c>
    </row>
    <row r="69" spans="1:24" s="38" customFormat="1" ht="28.5">
      <c r="A69" s="31" t="s">
        <v>2</v>
      </c>
      <c r="B69" s="32" t="s">
        <v>86</v>
      </c>
      <c r="C69" s="33"/>
      <c r="D69" s="33"/>
      <c r="E69" s="34"/>
      <c r="F69" s="33"/>
      <c r="G69" s="35"/>
      <c r="H69" s="36"/>
      <c r="I69" s="36"/>
      <c r="J69" s="36"/>
      <c r="K69" s="37"/>
      <c r="L69" s="36"/>
      <c r="M69" s="36"/>
      <c r="N69" s="36"/>
      <c r="O69" s="35"/>
      <c r="P69" s="36"/>
      <c r="Q69" s="36"/>
      <c r="R69" s="36"/>
      <c r="S69" s="35">
        <v>546720</v>
      </c>
      <c r="T69" s="36"/>
      <c r="U69" s="36"/>
      <c r="V69" s="35">
        <v>546720</v>
      </c>
      <c r="X69" s="39"/>
    </row>
    <row r="70" spans="1:24" s="38" customFormat="1" ht="28.5">
      <c r="A70" s="40" t="s">
        <v>87</v>
      </c>
      <c r="B70" s="32" t="s">
        <v>88</v>
      </c>
      <c r="C70" s="33"/>
      <c r="D70" s="33"/>
      <c r="E70" s="31"/>
      <c r="F70" s="33"/>
      <c r="G70" s="35"/>
      <c r="H70" s="36"/>
      <c r="I70" s="36"/>
      <c r="J70" s="36"/>
      <c r="K70" s="37"/>
      <c r="L70" s="36"/>
      <c r="M70" s="36"/>
      <c r="N70" s="36"/>
      <c r="O70" s="35"/>
      <c r="P70" s="36"/>
      <c r="Q70" s="36"/>
      <c r="R70" s="36"/>
      <c r="S70" s="35">
        <v>37500</v>
      </c>
      <c r="T70" s="36"/>
      <c r="U70" s="36"/>
      <c r="V70" s="35">
        <v>37500</v>
      </c>
      <c r="X70" s="41"/>
    </row>
    <row r="71" spans="1:22" s="38" customFormat="1" ht="15">
      <c r="A71" s="42" t="s">
        <v>89</v>
      </c>
      <c r="B71" s="43" t="s">
        <v>90</v>
      </c>
      <c r="C71" s="33"/>
      <c r="D71" s="33"/>
      <c r="E71" s="44"/>
      <c r="F71" s="33"/>
      <c r="G71" s="45"/>
      <c r="H71" s="36"/>
      <c r="I71" s="36"/>
      <c r="J71" s="36"/>
      <c r="K71" s="37"/>
      <c r="L71" s="36"/>
      <c r="M71" s="36"/>
      <c r="N71" s="36"/>
      <c r="O71" s="45"/>
      <c r="P71" s="36"/>
      <c r="Q71" s="36"/>
      <c r="R71" s="36"/>
      <c r="S71" s="45">
        <v>5100</v>
      </c>
      <c r="T71" s="36"/>
      <c r="U71" s="36"/>
      <c r="V71" s="45">
        <v>5100</v>
      </c>
    </row>
    <row r="72" spans="1:22" s="38" customFormat="1" ht="15">
      <c r="A72" s="42" t="s">
        <v>91</v>
      </c>
      <c r="B72" s="43" t="s">
        <v>92</v>
      </c>
      <c r="C72" s="33"/>
      <c r="D72" s="33"/>
      <c r="E72" s="44"/>
      <c r="F72" s="33"/>
      <c r="G72" s="45"/>
      <c r="H72" s="36"/>
      <c r="I72" s="36"/>
      <c r="J72" s="36"/>
      <c r="K72" s="37"/>
      <c r="L72" s="36"/>
      <c r="M72" s="36"/>
      <c r="N72" s="36"/>
      <c r="O72" s="45"/>
      <c r="P72" s="36"/>
      <c r="Q72" s="36"/>
      <c r="R72" s="36"/>
      <c r="S72" s="45">
        <v>5000</v>
      </c>
      <c r="T72" s="36"/>
      <c r="U72" s="36"/>
      <c r="V72" s="45">
        <v>5000</v>
      </c>
    </row>
    <row r="73" spans="1:22" s="38" customFormat="1" ht="15">
      <c r="A73" s="42" t="s">
        <v>93</v>
      </c>
      <c r="B73" s="43" t="s">
        <v>94</v>
      </c>
      <c r="C73" s="33"/>
      <c r="D73" s="33"/>
      <c r="E73" s="44"/>
      <c r="F73" s="33"/>
      <c r="G73" s="45"/>
      <c r="H73" s="36"/>
      <c r="I73" s="36"/>
      <c r="J73" s="36"/>
      <c r="K73" s="37"/>
      <c r="L73" s="36"/>
      <c r="M73" s="36"/>
      <c r="N73" s="36"/>
      <c r="O73" s="45"/>
      <c r="P73" s="36"/>
      <c r="Q73" s="36"/>
      <c r="R73" s="36"/>
      <c r="S73" s="45">
        <v>6300</v>
      </c>
      <c r="T73" s="36"/>
      <c r="U73" s="36"/>
      <c r="V73" s="45">
        <v>6300</v>
      </c>
    </row>
    <row r="74" spans="1:22" s="38" customFormat="1" ht="15">
      <c r="A74" s="42" t="s">
        <v>95</v>
      </c>
      <c r="B74" s="43" t="s">
        <v>96</v>
      </c>
      <c r="C74" s="33"/>
      <c r="D74" s="33"/>
      <c r="E74" s="44"/>
      <c r="F74" s="33"/>
      <c r="G74" s="45"/>
      <c r="H74" s="36"/>
      <c r="I74" s="36"/>
      <c r="J74" s="36"/>
      <c r="K74" s="37"/>
      <c r="L74" s="36"/>
      <c r="M74" s="36"/>
      <c r="N74" s="36"/>
      <c r="O74" s="45"/>
      <c r="P74" s="36"/>
      <c r="Q74" s="36"/>
      <c r="R74" s="36"/>
      <c r="S74" s="45">
        <v>4800</v>
      </c>
      <c r="T74" s="36"/>
      <c r="U74" s="36"/>
      <c r="V74" s="45">
        <v>4800</v>
      </c>
    </row>
    <row r="75" spans="1:22" s="38" customFormat="1" ht="15">
      <c r="A75" s="42" t="s">
        <v>97</v>
      </c>
      <c r="B75" s="43" t="s">
        <v>98</v>
      </c>
      <c r="C75" s="33"/>
      <c r="D75" s="33"/>
      <c r="E75" s="44"/>
      <c r="F75" s="33"/>
      <c r="G75" s="45"/>
      <c r="H75" s="36"/>
      <c r="I75" s="36"/>
      <c r="J75" s="46"/>
      <c r="K75" s="37"/>
      <c r="L75" s="36"/>
      <c r="M75" s="36"/>
      <c r="N75" s="46"/>
      <c r="O75" s="45"/>
      <c r="P75" s="36"/>
      <c r="Q75" s="36"/>
      <c r="R75" s="46"/>
      <c r="S75" s="45">
        <v>6400</v>
      </c>
      <c r="T75" s="36"/>
      <c r="U75" s="36"/>
      <c r="V75" s="45">
        <v>6400</v>
      </c>
    </row>
    <row r="76" spans="1:22" s="38" customFormat="1" ht="15">
      <c r="A76" s="42" t="s">
        <v>99</v>
      </c>
      <c r="B76" s="43" t="s">
        <v>100</v>
      </c>
      <c r="C76" s="33"/>
      <c r="D76" s="33"/>
      <c r="E76" s="44"/>
      <c r="F76" s="33"/>
      <c r="G76" s="45"/>
      <c r="H76" s="36"/>
      <c r="I76" s="36"/>
      <c r="J76" s="46"/>
      <c r="K76" s="37"/>
      <c r="L76" s="36"/>
      <c r="M76" s="36"/>
      <c r="N76" s="46"/>
      <c r="O76" s="45"/>
      <c r="P76" s="36"/>
      <c r="Q76" s="36"/>
      <c r="R76" s="46"/>
      <c r="S76" s="45">
        <v>6200</v>
      </c>
      <c r="T76" s="36"/>
      <c r="U76" s="36"/>
      <c r="V76" s="45">
        <v>6200</v>
      </c>
    </row>
    <row r="77" spans="1:22" s="38" customFormat="1" ht="15">
      <c r="A77" s="42" t="s">
        <v>101</v>
      </c>
      <c r="B77" s="43" t="s">
        <v>102</v>
      </c>
      <c r="C77" s="33"/>
      <c r="D77" s="33"/>
      <c r="E77" s="44"/>
      <c r="F77" s="33"/>
      <c r="G77" s="45"/>
      <c r="H77" s="36"/>
      <c r="I77" s="36"/>
      <c r="J77" s="46"/>
      <c r="K77" s="37"/>
      <c r="L77" s="36"/>
      <c r="M77" s="36"/>
      <c r="N77" s="46"/>
      <c r="O77" s="45"/>
      <c r="P77" s="36"/>
      <c r="Q77" s="36"/>
      <c r="R77" s="46"/>
      <c r="S77" s="45">
        <v>3700</v>
      </c>
      <c r="T77" s="36"/>
      <c r="U77" s="36"/>
      <c r="V77" s="45">
        <v>3700</v>
      </c>
    </row>
    <row r="78" spans="1:22" s="38" customFormat="1" ht="28.5">
      <c r="A78" s="40" t="s">
        <v>103</v>
      </c>
      <c r="B78" s="32" t="s">
        <v>104</v>
      </c>
      <c r="C78" s="33"/>
      <c r="D78" s="33"/>
      <c r="E78" s="47"/>
      <c r="F78" s="33"/>
      <c r="G78" s="35"/>
      <c r="H78" s="36"/>
      <c r="I78" s="36"/>
      <c r="J78" s="46"/>
      <c r="K78" s="37"/>
      <c r="L78" s="36"/>
      <c r="M78" s="36"/>
      <c r="N78" s="46"/>
      <c r="O78" s="35"/>
      <c r="P78" s="36"/>
      <c r="Q78" s="36"/>
      <c r="R78" s="46"/>
      <c r="S78" s="35">
        <v>509220</v>
      </c>
      <c r="T78" s="36"/>
      <c r="U78" s="36"/>
      <c r="V78" s="35">
        <v>509220</v>
      </c>
    </row>
    <row r="79" spans="1:22" s="38" customFormat="1" ht="15">
      <c r="A79" s="42" t="s">
        <v>89</v>
      </c>
      <c r="B79" s="43" t="s">
        <v>90</v>
      </c>
      <c r="C79" s="33"/>
      <c r="D79" s="33"/>
      <c r="E79" s="44"/>
      <c r="F79" s="33"/>
      <c r="G79" s="45"/>
      <c r="H79" s="36"/>
      <c r="I79" s="36"/>
      <c r="J79" s="46"/>
      <c r="K79" s="37"/>
      <c r="L79" s="36"/>
      <c r="M79" s="36"/>
      <c r="N79" s="46"/>
      <c r="O79" s="45"/>
      <c r="P79" s="36"/>
      <c r="Q79" s="36"/>
      <c r="R79" s="46"/>
      <c r="S79" s="45">
        <v>7500</v>
      </c>
      <c r="T79" s="36"/>
      <c r="U79" s="36"/>
      <c r="V79" s="45">
        <v>7500</v>
      </c>
    </row>
    <row r="80" spans="1:22" s="38" customFormat="1" ht="15">
      <c r="A80" s="42" t="s">
        <v>91</v>
      </c>
      <c r="B80" s="43" t="s">
        <v>92</v>
      </c>
      <c r="C80" s="33"/>
      <c r="D80" s="33"/>
      <c r="E80" s="44"/>
      <c r="F80" s="33"/>
      <c r="G80" s="45"/>
      <c r="H80" s="36"/>
      <c r="I80" s="36"/>
      <c r="J80" s="46"/>
      <c r="K80" s="37"/>
      <c r="L80" s="36"/>
      <c r="M80" s="36"/>
      <c r="N80" s="46"/>
      <c r="O80" s="45"/>
      <c r="P80" s="36"/>
      <c r="Q80" s="36"/>
      <c r="R80" s="46"/>
      <c r="S80" s="45">
        <v>8250</v>
      </c>
      <c r="T80" s="36"/>
      <c r="U80" s="36"/>
      <c r="V80" s="45">
        <v>8250</v>
      </c>
    </row>
    <row r="81" spans="1:22" s="38" customFormat="1" ht="15">
      <c r="A81" s="42" t="s">
        <v>93</v>
      </c>
      <c r="B81" s="43" t="s">
        <v>94</v>
      </c>
      <c r="C81" s="33"/>
      <c r="D81" s="33"/>
      <c r="E81" s="44"/>
      <c r="F81" s="33"/>
      <c r="G81" s="45"/>
      <c r="H81" s="36"/>
      <c r="I81" s="36"/>
      <c r="J81" s="46"/>
      <c r="K81" s="37"/>
      <c r="L81" s="36"/>
      <c r="M81" s="36"/>
      <c r="N81" s="46"/>
      <c r="O81" s="45"/>
      <c r="P81" s="36"/>
      <c r="Q81" s="36"/>
      <c r="R81" s="46"/>
      <c r="S81" s="45">
        <v>26250</v>
      </c>
      <c r="T81" s="36"/>
      <c r="U81" s="36"/>
      <c r="V81" s="45">
        <v>26250</v>
      </c>
    </row>
    <row r="82" spans="1:22" s="38" customFormat="1" ht="15">
      <c r="A82" s="42" t="s">
        <v>95</v>
      </c>
      <c r="B82" s="43" t="s">
        <v>96</v>
      </c>
      <c r="C82" s="33"/>
      <c r="D82" s="33"/>
      <c r="E82" s="44"/>
      <c r="F82" s="48"/>
      <c r="G82" s="45"/>
      <c r="H82" s="49"/>
      <c r="I82" s="49"/>
      <c r="J82" s="50"/>
      <c r="K82" s="51"/>
      <c r="L82" s="49"/>
      <c r="M82" s="49"/>
      <c r="N82" s="50"/>
      <c r="O82" s="45"/>
      <c r="P82" s="49"/>
      <c r="Q82" s="49"/>
      <c r="R82" s="50"/>
      <c r="S82" s="45">
        <v>42120</v>
      </c>
      <c r="T82" s="36"/>
      <c r="U82" s="36"/>
      <c r="V82" s="45">
        <v>42120</v>
      </c>
    </row>
    <row r="83" spans="1:22" s="38" customFormat="1" ht="15">
      <c r="A83" s="42" t="s">
        <v>97</v>
      </c>
      <c r="B83" s="43" t="s">
        <v>98</v>
      </c>
      <c r="C83" s="33"/>
      <c r="D83" s="33"/>
      <c r="E83" s="44"/>
      <c r="F83" s="48"/>
      <c r="G83" s="45"/>
      <c r="H83" s="49"/>
      <c r="I83" s="49"/>
      <c r="J83" s="50"/>
      <c r="K83" s="51"/>
      <c r="L83" s="49"/>
      <c r="M83" s="49"/>
      <c r="N83" s="50"/>
      <c r="O83" s="45"/>
      <c r="P83" s="49"/>
      <c r="Q83" s="49"/>
      <c r="R83" s="50"/>
      <c r="S83" s="45">
        <v>54600</v>
      </c>
      <c r="T83" s="36"/>
      <c r="U83" s="36"/>
      <c r="V83" s="45">
        <v>54600</v>
      </c>
    </row>
    <row r="84" spans="1:22" s="38" customFormat="1" ht="15">
      <c r="A84" s="42" t="s">
        <v>99</v>
      </c>
      <c r="B84" s="43" t="s">
        <v>100</v>
      </c>
      <c r="C84" s="33"/>
      <c r="D84" s="33"/>
      <c r="E84" s="44"/>
      <c r="F84" s="33"/>
      <c r="G84" s="45"/>
      <c r="H84" s="36"/>
      <c r="I84" s="36"/>
      <c r="J84" s="46"/>
      <c r="K84" s="37"/>
      <c r="L84" s="36"/>
      <c r="M84" s="36"/>
      <c r="N84" s="46"/>
      <c r="O84" s="45"/>
      <c r="P84" s="36"/>
      <c r="Q84" s="36"/>
      <c r="R84" s="46"/>
      <c r="S84" s="45">
        <v>152100</v>
      </c>
      <c r="T84" s="36"/>
      <c r="U84" s="36"/>
      <c r="V84" s="45">
        <v>152100</v>
      </c>
    </row>
    <row r="85" spans="1:22" s="38" customFormat="1" ht="15">
      <c r="A85" s="42" t="s">
        <v>101</v>
      </c>
      <c r="B85" s="43" t="s">
        <v>102</v>
      </c>
      <c r="C85" s="33"/>
      <c r="D85" s="33"/>
      <c r="E85" s="44"/>
      <c r="F85" s="33"/>
      <c r="G85" s="45"/>
      <c r="H85" s="36"/>
      <c r="I85" s="36"/>
      <c r="J85" s="36"/>
      <c r="K85" s="37"/>
      <c r="L85" s="36"/>
      <c r="M85" s="36"/>
      <c r="N85" s="36"/>
      <c r="O85" s="45"/>
      <c r="P85" s="36"/>
      <c r="Q85" s="36"/>
      <c r="R85" s="36"/>
      <c r="S85" s="45">
        <v>218400</v>
      </c>
      <c r="T85" s="36"/>
      <c r="U85" s="36"/>
      <c r="V85" s="45">
        <v>218400</v>
      </c>
    </row>
    <row r="86" spans="1:22" s="38" customFormat="1" ht="15">
      <c r="A86" s="52"/>
      <c r="B86" s="53" t="s">
        <v>105</v>
      </c>
      <c r="C86" s="33"/>
      <c r="D86" s="33"/>
      <c r="E86" s="54"/>
      <c r="F86" s="33"/>
      <c r="G86" s="55"/>
      <c r="H86" s="36"/>
      <c r="I86" s="36"/>
      <c r="J86" s="46"/>
      <c r="K86" s="37"/>
      <c r="L86" s="36"/>
      <c r="M86" s="36"/>
      <c r="N86" s="56"/>
      <c r="O86" s="55"/>
      <c r="P86" s="36"/>
      <c r="Q86" s="36"/>
      <c r="R86" s="56"/>
      <c r="S86" s="55"/>
      <c r="T86" s="36"/>
      <c r="U86" s="36"/>
      <c r="V86" s="55"/>
    </row>
    <row r="87" spans="1:22" s="38" customFormat="1" ht="45">
      <c r="A87" s="57" t="s">
        <v>106</v>
      </c>
      <c r="B87" s="53" t="s">
        <v>107</v>
      </c>
      <c r="C87" s="33"/>
      <c r="D87" s="33"/>
      <c r="E87" s="54"/>
      <c r="F87" s="33"/>
      <c r="G87" s="55"/>
      <c r="H87" s="36"/>
      <c r="I87" s="36"/>
      <c r="J87" s="46"/>
      <c r="K87" s="37"/>
      <c r="L87" s="36"/>
      <c r="M87" s="36"/>
      <c r="N87" s="46"/>
      <c r="O87" s="55"/>
      <c r="P87" s="36"/>
      <c r="Q87" s="36"/>
      <c r="R87" s="46"/>
      <c r="S87" s="55">
        <v>4248</v>
      </c>
      <c r="T87" s="36"/>
      <c r="U87" s="36"/>
      <c r="V87" s="55">
        <v>4248</v>
      </c>
    </row>
    <row r="88" spans="1:22" s="38" customFormat="1" ht="28.5">
      <c r="A88" s="31" t="s">
        <v>3</v>
      </c>
      <c r="B88" s="58" t="s">
        <v>108</v>
      </c>
      <c r="C88" s="33"/>
      <c r="D88" s="33"/>
      <c r="E88" s="47"/>
      <c r="F88" s="33"/>
      <c r="G88" s="35"/>
      <c r="H88" s="36"/>
      <c r="I88" s="36"/>
      <c r="J88" s="36"/>
      <c r="K88" s="37"/>
      <c r="L88" s="36"/>
      <c r="M88" s="36"/>
      <c r="N88" s="36"/>
      <c r="O88" s="35"/>
      <c r="P88" s="36"/>
      <c r="Q88" s="36"/>
      <c r="R88" s="36"/>
      <c r="S88" s="35">
        <v>2363</v>
      </c>
      <c r="T88" s="36"/>
      <c r="U88" s="36"/>
      <c r="V88" s="35">
        <v>2363</v>
      </c>
    </row>
    <row r="89" spans="1:22" s="38" customFormat="1" ht="28.5">
      <c r="A89" s="40" t="s">
        <v>21</v>
      </c>
      <c r="B89" s="58" t="s">
        <v>109</v>
      </c>
      <c r="C89" s="33"/>
      <c r="D89" s="33"/>
      <c r="E89" s="47"/>
      <c r="F89" s="33"/>
      <c r="G89" s="35"/>
      <c r="H89" s="36"/>
      <c r="I89" s="36"/>
      <c r="J89" s="46"/>
      <c r="K89" s="37"/>
      <c r="L89" s="36"/>
      <c r="M89" s="36"/>
      <c r="N89" s="46"/>
      <c r="O89" s="35"/>
      <c r="P89" s="36"/>
      <c r="Q89" s="36"/>
      <c r="R89" s="46"/>
      <c r="S89" s="35">
        <v>726</v>
      </c>
      <c r="T89" s="36"/>
      <c r="U89" s="36"/>
      <c r="V89" s="35">
        <v>726</v>
      </c>
    </row>
    <row r="90" spans="1:22" s="38" customFormat="1" ht="57">
      <c r="A90" s="40" t="s">
        <v>24</v>
      </c>
      <c r="B90" s="58" t="s">
        <v>35</v>
      </c>
      <c r="C90" s="33"/>
      <c r="D90" s="33"/>
      <c r="E90" s="47"/>
      <c r="F90" s="33"/>
      <c r="G90" s="35"/>
      <c r="H90" s="36"/>
      <c r="I90" s="36"/>
      <c r="J90" s="46"/>
      <c r="K90" s="37"/>
      <c r="L90" s="36"/>
      <c r="M90" s="36"/>
      <c r="N90" s="46"/>
      <c r="O90" s="59">
        <v>155800</v>
      </c>
      <c r="P90" s="36"/>
      <c r="Q90" s="36"/>
      <c r="R90" s="46"/>
      <c r="S90" s="59">
        <v>35000</v>
      </c>
      <c r="T90" s="36"/>
      <c r="U90" s="36"/>
      <c r="V90" s="59">
        <v>35000</v>
      </c>
    </row>
    <row r="91" spans="1:22" s="38" customFormat="1" ht="42.75">
      <c r="A91" s="31" t="s">
        <v>24</v>
      </c>
      <c r="B91" s="58" t="s">
        <v>69</v>
      </c>
      <c r="C91" s="33"/>
      <c r="D91" s="33"/>
      <c r="E91" s="47"/>
      <c r="F91" s="33"/>
      <c r="G91" s="35"/>
      <c r="H91" s="36"/>
      <c r="I91" s="36"/>
      <c r="J91" s="46"/>
      <c r="K91" s="37"/>
      <c r="L91" s="36"/>
      <c r="M91" s="36"/>
      <c r="N91" s="46"/>
      <c r="O91" s="35">
        <f>SUM(O92:O93)</f>
        <v>239410.38</v>
      </c>
      <c r="P91" s="36"/>
      <c r="Q91" s="36"/>
      <c r="R91" s="46"/>
      <c r="S91" s="35">
        <v>106670.487</v>
      </c>
      <c r="T91" s="36"/>
      <c r="U91" s="36"/>
      <c r="V91" s="35">
        <v>106670.487</v>
      </c>
    </row>
    <row r="92" spans="1:22" s="38" customFormat="1" ht="15">
      <c r="A92" s="60" t="s">
        <v>89</v>
      </c>
      <c r="B92" s="61" t="s">
        <v>36</v>
      </c>
      <c r="C92" s="33"/>
      <c r="D92" s="33"/>
      <c r="E92" s="44"/>
      <c r="F92" s="33"/>
      <c r="G92" s="45"/>
      <c r="H92" s="36"/>
      <c r="I92" s="36"/>
      <c r="J92" s="46"/>
      <c r="K92" s="37"/>
      <c r="L92" s="36"/>
      <c r="M92" s="36"/>
      <c r="N92" s="46"/>
      <c r="O92" s="45">
        <f>7000+81000+63000</f>
        <v>151000</v>
      </c>
      <c r="P92" s="36"/>
      <c r="Q92" s="36"/>
      <c r="R92" s="46"/>
      <c r="S92" s="45">
        <v>80670.487</v>
      </c>
      <c r="T92" s="36"/>
      <c r="U92" s="36"/>
      <c r="V92" s="45">
        <v>80670.487</v>
      </c>
    </row>
    <row r="93" spans="1:22" s="38" customFormat="1" ht="15">
      <c r="A93" s="60" t="s">
        <v>91</v>
      </c>
      <c r="B93" s="61" t="s">
        <v>110</v>
      </c>
      <c r="C93" s="33"/>
      <c r="D93" s="33"/>
      <c r="E93" s="44"/>
      <c r="F93" s="33"/>
      <c r="G93" s="45"/>
      <c r="H93" s="36"/>
      <c r="I93" s="36"/>
      <c r="J93" s="46"/>
      <c r="K93" s="37"/>
      <c r="L93" s="36"/>
      <c r="M93" s="36"/>
      <c r="N93" s="46"/>
      <c r="O93" s="45">
        <f>30896+21000+6514.38+30000</f>
        <v>88410.38</v>
      </c>
      <c r="P93" s="36"/>
      <c r="Q93" s="36"/>
      <c r="R93" s="46"/>
      <c r="S93" s="45">
        <v>26000</v>
      </c>
      <c r="T93" s="36"/>
      <c r="U93" s="36"/>
      <c r="V93" s="45">
        <v>26000</v>
      </c>
    </row>
    <row r="94" spans="1:22" s="38" customFormat="1" ht="42.75">
      <c r="A94" s="62" t="s">
        <v>32</v>
      </c>
      <c r="B94" s="58" t="s">
        <v>111</v>
      </c>
      <c r="C94" s="33"/>
      <c r="D94" s="33"/>
      <c r="E94" s="62"/>
      <c r="F94" s="33"/>
      <c r="G94" s="59"/>
      <c r="H94" s="36"/>
      <c r="I94" s="36"/>
      <c r="J94" s="46"/>
      <c r="K94" s="37"/>
      <c r="L94" s="36"/>
      <c r="M94" s="36"/>
      <c r="N94" s="56"/>
      <c r="O94" s="59">
        <f>O95+O110</f>
        <v>4405232.399</v>
      </c>
      <c r="P94" s="36"/>
      <c r="Q94" s="36"/>
      <c r="R94" s="56"/>
      <c r="S94" s="63">
        <v>90794.605</v>
      </c>
      <c r="T94" s="36"/>
      <c r="U94" s="36"/>
      <c r="V94" s="63">
        <v>90794.605</v>
      </c>
    </row>
    <row r="95" spans="1:22" s="38" customFormat="1" ht="28.5">
      <c r="A95" s="64" t="s">
        <v>112</v>
      </c>
      <c r="B95" s="58" t="s">
        <v>113</v>
      </c>
      <c r="C95" s="33"/>
      <c r="D95" s="33"/>
      <c r="E95" s="62"/>
      <c r="F95" s="33"/>
      <c r="G95" s="35">
        <f>SUM(G96:G109)</f>
        <v>958559.999</v>
      </c>
      <c r="H95" s="36"/>
      <c r="I95" s="36"/>
      <c r="J95" s="46"/>
      <c r="K95" s="37"/>
      <c r="L95" s="36"/>
      <c r="M95" s="36"/>
      <c r="N95" s="46"/>
      <c r="O95" s="35">
        <f>SUM(O96:O109)</f>
        <v>861929.8960000001</v>
      </c>
      <c r="P95" s="36"/>
      <c r="Q95" s="36"/>
      <c r="R95" s="46"/>
      <c r="S95" s="35">
        <v>12777.158000000001</v>
      </c>
      <c r="T95" s="36"/>
      <c r="U95" s="36"/>
      <c r="V95" s="35">
        <v>12777.158000000001</v>
      </c>
    </row>
    <row r="96" spans="1:22" s="38" customFormat="1" ht="30">
      <c r="A96" s="65" t="s">
        <v>89</v>
      </c>
      <c r="B96" s="66" t="s">
        <v>28</v>
      </c>
      <c r="C96" s="33"/>
      <c r="D96" s="33"/>
      <c r="E96" s="67" t="s">
        <v>62</v>
      </c>
      <c r="F96" s="33"/>
      <c r="G96" s="68">
        <f>8530.965+139.897+206.966+746.74+86.054+289.378</f>
        <v>10000.000000000002</v>
      </c>
      <c r="H96" s="36"/>
      <c r="I96" s="36"/>
      <c r="J96" s="46"/>
      <c r="K96" s="37"/>
      <c r="L96" s="36"/>
      <c r="M96" s="36"/>
      <c r="N96" s="56"/>
      <c r="O96" s="68">
        <v>9500</v>
      </c>
      <c r="P96" s="36"/>
      <c r="Q96" s="36"/>
      <c r="R96" s="56"/>
      <c r="S96" s="69">
        <v>73.042</v>
      </c>
      <c r="T96" s="36"/>
      <c r="U96" s="36"/>
      <c r="V96" s="69">
        <v>73.042</v>
      </c>
    </row>
    <row r="97" spans="1:22" s="38" customFormat="1" ht="30">
      <c r="A97" s="65" t="s">
        <v>91</v>
      </c>
      <c r="B97" s="66" t="s">
        <v>29</v>
      </c>
      <c r="C97" s="33"/>
      <c r="D97" s="33"/>
      <c r="E97" s="67" t="s">
        <v>62</v>
      </c>
      <c r="F97" s="33"/>
      <c r="G97" s="68">
        <f>8730.75+139.897+211.734+750.839+86.311+80.469</f>
        <v>10000</v>
      </c>
      <c r="H97" s="36"/>
      <c r="I97" s="36"/>
      <c r="J97" s="46"/>
      <c r="K97" s="37"/>
      <c r="L97" s="36"/>
      <c r="M97" s="36"/>
      <c r="N97" s="46"/>
      <c r="O97" s="68">
        <v>9625</v>
      </c>
      <c r="P97" s="36"/>
      <c r="Q97" s="36"/>
      <c r="R97" s="46"/>
      <c r="S97" s="69">
        <v>185.5570000000007</v>
      </c>
      <c r="T97" s="36"/>
      <c r="U97" s="36"/>
      <c r="V97" s="69">
        <v>185.5570000000007</v>
      </c>
    </row>
    <row r="98" spans="1:22" s="38" customFormat="1" ht="30">
      <c r="A98" s="65" t="s">
        <v>93</v>
      </c>
      <c r="B98" s="66" t="s">
        <v>114</v>
      </c>
      <c r="C98" s="33"/>
      <c r="D98" s="33"/>
      <c r="E98" s="67" t="s">
        <v>62</v>
      </c>
      <c r="F98" s="33"/>
      <c r="G98" s="68">
        <v>10000</v>
      </c>
      <c r="H98" s="36"/>
      <c r="I98" s="36"/>
      <c r="J98" s="46"/>
      <c r="K98" s="37"/>
      <c r="L98" s="36"/>
      <c r="M98" s="36"/>
      <c r="N98" s="46"/>
      <c r="O98" s="70">
        <v>9584.417</v>
      </c>
      <c r="P98" s="36"/>
      <c r="Q98" s="36"/>
      <c r="R98" s="46"/>
      <c r="S98" s="69">
        <v>44.9950000000008</v>
      </c>
      <c r="T98" s="36"/>
      <c r="U98" s="36"/>
      <c r="V98" s="69">
        <v>44.9950000000008</v>
      </c>
    </row>
    <row r="99" spans="1:22" s="38" customFormat="1" ht="30">
      <c r="A99" s="65" t="s">
        <v>95</v>
      </c>
      <c r="B99" s="66" t="s">
        <v>30</v>
      </c>
      <c r="C99" s="33"/>
      <c r="D99" s="33"/>
      <c r="E99" s="67" t="s">
        <v>62</v>
      </c>
      <c r="F99" s="33"/>
      <c r="G99" s="68">
        <f>8580.297+139.897+208.143+754.007+95.479+222.177</f>
        <v>10000</v>
      </c>
      <c r="H99" s="36"/>
      <c r="I99" s="36"/>
      <c r="J99" s="36"/>
      <c r="K99" s="37"/>
      <c r="L99" s="36"/>
      <c r="M99" s="36"/>
      <c r="N99" s="36"/>
      <c r="O99" s="68">
        <v>9500</v>
      </c>
      <c r="P99" s="36"/>
      <c r="Q99" s="36"/>
      <c r="R99" s="36"/>
      <c r="S99" s="69">
        <v>337.871</v>
      </c>
      <c r="T99" s="36"/>
      <c r="U99" s="36"/>
      <c r="V99" s="69">
        <v>337.871</v>
      </c>
    </row>
    <row r="100" spans="1:22" s="38" customFormat="1" ht="30">
      <c r="A100" s="65" t="s">
        <v>97</v>
      </c>
      <c r="B100" s="66" t="s">
        <v>31</v>
      </c>
      <c r="C100" s="33"/>
      <c r="D100" s="33"/>
      <c r="E100" s="67" t="s">
        <v>62</v>
      </c>
      <c r="F100" s="33"/>
      <c r="G100" s="68">
        <f>8733.251+143.703+211.885+758.095+106.09+46.976</f>
        <v>10000</v>
      </c>
      <c r="H100" s="36"/>
      <c r="I100" s="36"/>
      <c r="J100" s="46"/>
      <c r="K100" s="37"/>
      <c r="L100" s="36"/>
      <c r="M100" s="36"/>
      <c r="N100" s="46"/>
      <c r="O100" s="68">
        <v>9500</v>
      </c>
      <c r="P100" s="36"/>
      <c r="Q100" s="36"/>
      <c r="R100" s="46"/>
      <c r="S100" s="69">
        <v>435.34100000000035</v>
      </c>
      <c r="T100" s="36"/>
      <c r="U100" s="36"/>
      <c r="V100" s="69">
        <v>435.34100000000035</v>
      </c>
    </row>
    <row r="101" spans="1:22" s="38" customFormat="1" ht="45">
      <c r="A101" s="65" t="s">
        <v>99</v>
      </c>
      <c r="B101" s="66" t="s">
        <v>115</v>
      </c>
      <c r="C101" s="33"/>
      <c r="D101" s="33"/>
      <c r="E101" s="71" t="s">
        <v>514</v>
      </c>
      <c r="F101" s="33"/>
      <c r="G101" s="12">
        <v>852219.538</v>
      </c>
      <c r="H101" s="36"/>
      <c r="I101" s="36"/>
      <c r="J101" s="46"/>
      <c r="K101" s="37"/>
      <c r="L101" s="36"/>
      <c r="M101" s="36"/>
      <c r="N101" s="46"/>
      <c r="O101" s="68">
        <v>766977</v>
      </c>
      <c r="P101" s="36"/>
      <c r="Q101" s="36"/>
      <c r="R101" s="46"/>
      <c r="S101" s="72">
        <v>3000</v>
      </c>
      <c r="T101" s="36"/>
      <c r="U101" s="36"/>
      <c r="V101" s="72">
        <v>3000</v>
      </c>
    </row>
    <row r="102" spans="1:22" s="38" customFormat="1" ht="45">
      <c r="A102" s="65" t="s">
        <v>101</v>
      </c>
      <c r="B102" s="66" t="s">
        <v>116</v>
      </c>
      <c r="C102" s="33"/>
      <c r="D102" s="33"/>
      <c r="E102" s="73" t="s">
        <v>515</v>
      </c>
      <c r="F102" s="33"/>
      <c r="G102" s="12">
        <v>12568.63</v>
      </c>
      <c r="H102" s="36"/>
      <c r="I102" s="36"/>
      <c r="J102" s="46"/>
      <c r="K102" s="37"/>
      <c r="L102" s="36"/>
      <c r="M102" s="36"/>
      <c r="N102" s="46"/>
      <c r="O102" s="74">
        <v>10950</v>
      </c>
      <c r="P102" s="36"/>
      <c r="Q102" s="36"/>
      <c r="R102" s="46"/>
      <c r="S102" s="69">
        <v>1236</v>
      </c>
      <c r="T102" s="36"/>
      <c r="U102" s="36"/>
      <c r="V102" s="69">
        <v>1236</v>
      </c>
    </row>
    <row r="103" spans="1:22" s="38" customFormat="1" ht="45">
      <c r="A103" s="65" t="s">
        <v>117</v>
      </c>
      <c r="B103" s="66" t="s">
        <v>118</v>
      </c>
      <c r="C103" s="33"/>
      <c r="D103" s="33"/>
      <c r="E103" s="73" t="s">
        <v>516</v>
      </c>
      <c r="F103" s="33"/>
      <c r="G103" s="12">
        <v>5491.031</v>
      </c>
      <c r="H103" s="36"/>
      <c r="I103" s="36"/>
      <c r="J103" s="46"/>
      <c r="K103" s="37"/>
      <c r="L103" s="36"/>
      <c r="M103" s="36"/>
      <c r="N103" s="56"/>
      <c r="O103" s="74">
        <v>5344.479</v>
      </c>
      <c r="P103" s="36"/>
      <c r="Q103" s="36"/>
      <c r="R103" s="56"/>
      <c r="S103" s="69">
        <v>146.552</v>
      </c>
      <c r="T103" s="36"/>
      <c r="U103" s="36"/>
      <c r="V103" s="69">
        <v>146.552</v>
      </c>
    </row>
    <row r="104" spans="1:22" s="38" customFormat="1" ht="30">
      <c r="A104" s="65" t="s">
        <v>119</v>
      </c>
      <c r="B104" s="66" t="s">
        <v>120</v>
      </c>
      <c r="C104" s="33"/>
      <c r="D104" s="33"/>
      <c r="E104" s="73" t="s">
        <v>59</v>
      </c>
      <c r="F104" s="33"/>
      <c r="G104" s="12">
        <v>3611.449</v>
      </c>
      <c r="H104" s="36"/>
      <c r="I104" s="36"/>
      <c r="J104" s="46"/>
      <c r="K104" s="37"/>
      <c r="L104" s="36"/>
      <c r="M104" s="36"/>
      <c r="N104" s="46"/>
      <c r="O104" s="74">
        <v>2670</v>
      </c>
      <c r="P104" s="36"/>
      <c r="Q104" s="36"/>
      <c r="R104" s="46"/>
      <c r="S104" s="69">
        <v>941.449</v>
      </c>
      <c r="T104" s="36"/>
      <c r="U104" s="36"/>
      <c r="V104" s="69">
        <v>941.449</v>
      </c>
    </row>
    <row r="105" spans="1:22" s="38" customFormat="1" ht="30">
      <c r="A105" s="65" t="s">
        <v>121</v>
      </c>
      <c r="B105" s="66" t="s">
        <v>122</v>
      </c>
      <c r="C105" s="33"/>
      <c r="D105" s="33"/>
      <c r="E105" s="73" t="s">
        <v>515</v>
      </c>
      <c r="F105" s="33"/>
      <c r="G105" s="12">
        <v>7614.876</v>
      </c>
      <c r="H105" s="36"/>
      <c r="I105" s="36"/>
      <c r="J105" s="46"/>
      <c r="K105" s="37"/>
      <c r="L105" s="36"/>
      <c r="M105" s="36"/>
      <c r="N105" s="46"/>
      <c r="O105" s="74">
        <v>5615</v>
      </c>
      <c r="P105" s="36"/>
      <c r="Q105" s="36"/>
      <c r="R105" s="36"/>
      <c r="S105" s="69">
        <v>1999.876</v>
      </c>
      <c r="T105" s="36"/>
      <c r="U105" s="36"/>
      <c r="V105" s="69">
        <v>1999.876</v>
      </c>
    </row>
    <row r="106" spans="1:22" s="38" customFormat="1" ht="30">
      <c r="A106" s="65" t="s">
        <v>123</v>
      </c>
      <c r="B106" s="66" t="s">
        <v>124</v>
      </c>
      <c r="C106" s="33"/>
      <c r="D106" s="33"/>
      <c r="E106" s="73" t="s">
        <v>59</v>
      </c>
      <c r="F106" s="33"/>
      <c r="G106" s="12">
        <v>2198.919</v>
      </c>
      <c r="H106" s="36"/>
      <c r="I106" s="36"/>
      <c r="J106" s="36"/>
      <c r="K106" s="37"/>
      <c r="L106" s="36"/>
      <c r="M106" s="36"/>
      <c r="N106" s="36"/>
      <c r="O106" s="74">
        <v>1225</v>
      </c>
      <c r="P106" s="36"/>
      <c r="Q106" s="36"/>
      <c r="R106" s="36"/>
      <c r="S106" s="69">
        <v>973.919</v>
      </c>
      <c r="T106" s="36"/>
      <c r="U106" s="36"/>
      <c r="V106" s="69">
        <v>973.919</v>
      </c>
    </row>
    <row r="107" spans="1:22" s="38" customFormat="1" ht="30">
      <c r="A107" s="65" t="s">
        <v>125</v>
      </c>
      <c r="B107" s="66" t="s">
        <v>126</v>
      </c>
      <c r="C107" s="33"/>
      <c r="D107" s="33"/>
      <c r="E107" s="73" t="s">
        <v>515</v>
      </c>
      <c r="F107" s="33"/>
      <c r="G107" s="12">
        <v>13850.491</v>
      </c>
      <c r="H107" s="36"/>
      <c r="I107" s="36"/>
      <c r="J107" s="36"/>
      <c r="K107" s="37"/>
      <c r="L107" s="36"/>
      <c r="M107" s="36"/>
      <c r="N107" s="36"/>
      <c r="O107" s="74">
        <v>13442</v>
      </c>
      <c r="P107" s="36"/>
      <c r="Q107" s="36"/>
      <c r="R107" s="36"/>
      <c r="S107" s="69">
        <v>408.491</v>
      </c>
      <c r="T107" s="36"/>
      <c r="U107" s="36"/>
      <c r="V107" s="69">
        <v>408.491</v>
      </c>
    </row>
    <row r="108" spans="1:22" s="38" customFormat="1" ht="45">
      <c r="A108" s="65" t="s">
        <v>127</v>
      </c>
      <c r="B108" s="66" t="s">
        <v>128</v>
      </c>
      <c r="C108" s="33"/>
      <c r="D108" s="33"/>
      <c r="E108" s="73" t="s">
        <v>515</v>
      </c>
      <c r="F108" s="33"/>
      <c r="G108" s="12">
        <v>6268.065</v>
      </c>
      <c r="H108" s="36"/>
      <c r="I108" s="36"/>
      <c r="J108" s="36"/>
      <c r="K108" s="37"/>
      <c r="L108" s="36"/>
      <c r="M108" s="36"/>
      <c r="N108" s="36"/>
      <c r="O108" s="74">
        <v>4230</v>
      </c>
      <c r="P108" s="36"/>
      <c r="Q108" s="36"/>
      <c r="R108" s="36"/>
      <c r="S108" s="69">
        <v>2038.065</v>
      </c>
      <c r="T108" s="36"/>
      <c r="U108" s="36"/>
      <c r="V108" s="69">
        <v>2038.065</v>
      </c>
    </row>
    <row r="109" spans="1:22" s="38" customFormat="1" ht="30">
      <c r="A109" s="65" t="s">
        <v>129</v>
      </c>
      <c r="B109" s="66" t="s">
        <v>130</v>
      </c>
      <c r="C109" s="33"/>
      <c r="D109" s="33"/>
      <c r="E109" s="73">
        <v>2013</v>
      </c>
      <c r="F109" s="33"/>
      <c r="G109" s="12">
        <v>4737</v>
      </c>
      <c r="H109" s="36"/>
      <c r="I109" s="36"/>
      <c r="J109" s="36"/>
      <c r="K109" s="37"/>
      <c r="L109" s="36"/>
      <c r="M109" s="36"/>
      <c r="N109" s="36"/>
      <c r="O109" s="74">
        <v>3767</v>
      </c>
      <c r="P109" s="36"/>
      <c r="Q109" s="36"/>
      <c r="R109" s="36"/>
      <c r="S109" s="69">
        <v>956</v>
      </c>
      <c r="T109" s="36"/>
      <c r="U109" s="36"/>
      <c r="V109" s="69">
        <v>956</v>
      </c>
    </row>
    <row r="110" spans="1:22" s="38" customFormat="1" ht="28.5">
      <c r="A110" s="75" t="s">
        <v>131</v>
      </c>
      <c r="B110" s="76" t="s">
        <v>132</v>
      </c>
      <c r="C110" s="33"/>
      <c r="D110" s="33"/>
      <c r="E110" s="77"/>
      <c r="F110" s="33"/>
      <c r="G110" s="78">
        <f>SUM(G111:G132)</f>
        <v>5479889.223000001</v>
      </c>
      <c r="H110" s="36"/>
      <c r="I110" s="36"/>
      <c r="J110" s="36"/>
      <c r="K110" s="37"/>
      <c r="L110" s="36"/>
      <c r="M110" s="36"/>
      <c r="N110" s="36"/>
      <c r="O110" s="78">
        <f>SUM(O111:O132)</f>
        <v>3543302.503</v>
      </c>
      <c r="P110" s="36"/>
      <c r="Q110" s="36"/>
      <c r="R110" s="36"/>
      <c r="S110" s="78">
        <v>78017.447</v>
      </c>
      <c r="T110" s="36"/>
      <c r="U110" s="36"/>
      <c r="V110" s="78">
        <v>78017.447</v>
      </c>
    </row>
    <row r="111" spans="1:22" s="38" customFormat="1" ht="90">
      <c r="A111" s="79" t="s">
        <v>89</v>
      </c>
      <c r="B111" s="80" t="s">
        <v>39</v>
      </c>
      <c r="C111" s="33"/>
      <c r="D111" s="33"/>
      <c r="E111" s="67" t="s">
        <v>62</v>
      </c>
      <c r="F111" s="33"/>
      <c r="G111" s="81">
        <f>35685.268+763.685+3665.864+1025.786+3000+839.397</f>
        <v>44979.99999999999</v>
      </c>
      <c r="H111" s="36"/>
      <c r="I111" s="36"/>
      <c r="J111" s="36"/>
      <c r="K111" s="37"/>
      <c r="L111" s="36"/>
      <c r="M111" s="36"/>
      <c r="N111" s="36"/>
      <c r="O111" s="74">
        <v>35168.18</v>
      </c>
      <c r="P111" s="36"/>
      <c r="Q111" s="36"/>
      <c r="R111" s="36"/>
      <c r="S111" s="82">
        <v>2000</v>
      </c>
      <c r="T111" s="36"/>
      <c r="U111" s="36"/>
      <c r="V111" s="82">
        <v>2000</v>
      </c>
    </row>
    <row r="112" spans="1:22" s="38" customFormat="1" ht="60">
      <c r="A112" s="79" t="s">
        <v>91</v>
      </c>
      <c r="B112" s="83" t="s">
        <v>133</v>
      </c>
      <c r="C112" s="33"/>
      <c r="D112" s="33"/>
      <c r="E112" s="73" t="s">
        <v>62</v>
      </c>
      <c r="F112" s="33"/>
      <c r="G112" s="81">
        <v>699340</v>
      </c>
      <c r="H112" s="36"/>
      <c r="I112" s="36"/>
      <c r="J112" s="36"/>
      <c r="K112" s="37"/>
      <c r="L112" s="36"/>
      <c r="M112" s="36"/>
      <c r="N112" s="36"/>
      <c r="O112" s="84">
        <v>544349.6799999999</v>
      </c>
      <c r="P112" s="36"/>
      <c r="Q112" s="36"/>
      <c r="R112" s="36"/>
      <c r="S112" s="82">
        <v>38076.32000000001</v>
      </c>
      <c r="T112" s="36"/>
      <c r="U112" s="36"/>
      <c r="V112" s="82">
        <v>38076.32000000001</v>
      </c>
    </row>
    <row r="113" spans="1:22" s="38" customFormat="1" ht="45">
      <c r="A113" s="79" t="s">
        <v>93</v>
      </c>
      <c r="B113" s="85" t="s">
        <v>41</v>
      </c>
      <c r="C113" s="33"/>
      <c r="D113" s="33"/>
      <c r="E113" s="86" t="s">
        <v>19</v>
      </c>
      <c r="F113" s="33"/>
      <c r="G113" s="81">
        <v>3735000</v>
      </c>
      <c r="H113" s="36"/>
      <c r="I113" s="36"/>
      <c r="J113" s="36"/>
      <c r="K113" s="37"/>
      <c r="L113" s="36"/>
      <c r="M113" s="36"/>
      <c r="N113" s="36"/>
      <c r="O113" s="74">
        <f>500000+200000+250000+1075000+235350+50000</f>
        <v>2310350</v>
      </c>
      <c r="P113" s="36"/>
      <c r="Q113" s="36"/>
      <c r="R113" s="36"/>
      <c r="S113" s="82">
        <v>0</v>
      </c>
      <c r="T113" s="36"/>
      <c r="U113" s="36"/>
      <c r="V113" s="82">
        <v>0</v>
      </c>
    </row>
    <row r="114" spans="1:22" s="38" customFormat="1" ht="45">
      <c r="A114" s="79" t="s">
        <v>95</v>
      </c>
      <c r="B114" s="85" t="s">
        <v>42</v>
      </c>
      <c r="C114" s="33"/>
      <c r="D114" s="33"/>
      <c r="E114" s="67" t="s">
        <v>62</v>
      </c>
      <c r="F114" s="33"/>
      <c r="G114" s="12">
        <f>39752.439+688.079+2504.078+930.462+74.942</f>
        <v>43950</v>
      </c>
      <c r="H114" s="36"/>
      <c r="I114" s="36"/>
      <c r="J114" s="36"/>
      <c r="K114" s="37"/>
      <c r="L114" s="36"/>
      <c r="M114" s="36"/>
      <c r="N114" s="36"/>
      <c r="O114" s="74">
        <v>31000</v>
      </c>
      <c r="P114" s="36"/>
      <c r="Q114" s="36"/>
      <c r="R114" s="36"/>
      <c r="S114" s="82">
        <v>10000</v>
      </c>
      <c r="T114" s="36"/>
      <c r="U114" s="36"/>
      <c r="V114" s="82">
        <v>10000</v>
      </c>
    </row>
    <row r="115" spans="1:22" s="38" customFormat="1" ht="30">
      <c r="A115" s="79" t="s">
        <v>97</v>
      </c>
      <c r="B115" s="66" t="s">
        <v>46</v>
      </c>
      <c r="C115" s="33"/>
      <c r="D115" s="33"/>
      <c r="E115" s="71" t="s">
        <v>64</v>
      </c>
      <c r="F115" s="33"/>
      <c r="G115" s="87">
        <v>6000</v>
      </c>
      <c r="H115" s="36"/>
      <c r="I115" s="36"/>
      <c r="J115" s="36"/>
      <c r="K115" s="37"/>
      <c r="L115" s="36"/>
      <c r="M115" s="36"/>
      <c r="N115" s="36"/>
      <c r="O115" s="74">
        <v>3100</v>
      </c>
      <c r="P115" s="36"/>
      <c r="Q115" s="36"/>
      <c r="R115" s="36"/>
      <c r="S115" s="88">
        <v>0</v>
      </c>
      <c r="T115" s="36"/>
      <c r="U115" s="36"/>
      <c r="V115" s="88">
        <v>0</v>
      </c>
    </row>
    <row r="116" spans="1:22" s="38" customFormat="1" ht="30">
      <c r="A116" s="79" t="s">
        <v>99</v>
      </c>
      <c r="B116" s="66" t="s">
        <v>27</v>
      </c>
      <c r="C116" s="33"/>
      <c r="D116" s="33"/>
      <c r="E116" s="67" t="s">
        <v>62</v>
      </c>
      <c r="F116" s="33"/>
      <c r="G116" s="81">
        <f>12712.74+2815.313+477.799+1251.745+224.504+874.112</f>
        <v>18356.213</v>
      </c>
      <c r="H116" s="36"/>
      <c r="I116" s="36"/>
      <c r="J116" s="36"/>
      <c r="K116" s="37"/>
      <c r="L116" s="36"/>
      <c r="M116" s="36"/>
      <c r="N116" s="36"/>
      <c r="O116" s="81">
        <v>16500</v>
      </c>
      <c r="P116" s="36"/>
      <c r="Q116" s="36"/>
      <c r="R116" s="36"/>
      <c r="S116" s="81">
        <v>1500</v>
      </c>
      <c r="T116" s="36"/>
      <c r="U116" s="36"/>
      <c r="V116" s="81">
        <v>1500</v>
      </c>
    </row>
    <row r="117" spans="1:22" s="38" customFormat="1" ht="45">
      <c r="A117" s="79" t="s">
        <v>101</v>
      </c>
      <c r="B117" s="66" t="s">
        <v>134</v>
      </c>
      <c r="C117" s="33"/>
      <c r="D117" s="33"/>
      <c r="E117" s="71" t="s">
        <v>76</v>
      </c>
      <c r="F117" s="33"/>
      <c r="G117" s="12">
        <v>31907.1</v>
      </c>
      <c r="H117" s="36"/>
      <c r="I117" s="36"/>
      <c r="J117" s="36"/>
      <c r="K117" s="37"/>
      <c r="L117" s="36"/>
      <c r="M117" s="36"/>
      <c r="N117" s="36"/>
      <c r="O117" s="74">
        <v>27600</v>
      </c>
      <c r="P117" s="36"/>
      <c r="Q117" s="36"/>
      <c r="R117" s="36"/>
      <c r="S117" s="81">
        <v>3500</v>
      </c>
      <c r="T117" s="36"/>
      <c r="U117" s="36"/>
      <c r="V117" s="81">
        <v>3500</v>
      </c>
    </row>
    <row r="118" spans="1:22" s="38" customFormat="1" ht="30">
      <c r="A118" s="79" t="s">
        <v>117</v>
      </c>
      <c r="B118" s="66" t="s">
        <v>135</v>
      </c>
      <c r="C118" s="33"/>
      <c r="D118" s="33"/>
      <c r="E118" s="71" t="s">
        <v>516</v>
      </c>
      <c r="F118" s="33"/>
      <c r="G118" s="89">
        <v>3980.69</v>
      </c>
      <c r="H118" s="36"/>
      <c r="I118" s="36"/>
      <c r="J118" s="36"/>
      <c r="K118" s="37"/>
      <c r="L118" s="36"/>
      <c r="M118" s="36"/>
      <c r="N118" s="36"/>
      <c r="O118" s="74">
        <v>2700</v>
      </c>
      <c r="P118" s="36"/>
      <c r="Q118" s="36"/>
      <c r="R118" s="36"/>
      <c r="S118" s="81">
        <v>1000</v>
      </c>
      <c r="T118" s="36"/>
      <c r="U118" s="36"/>
      <c r="V118" s="81">
        <v>1000</v>
      </c>
    </row>
    <row r="119" spans="1:22" s="38" customFormat="1" ht="30">
      <c r="A119" s="79" t="s">
        <v>119</v>
      </c>
      <c r="B119" s="66" t="s">
        <v>26</v>
      </c>
      <c r="C119" s="33"/>
      <c r="D119" s="33"/>
      <c r="E119" s="67" t="s">
        <v>62</v>
      </c>
      <c r="F119" s="33"/>
      <c r="G119" s="81">
        <v>34912</v>
      </c>
      <c r="H119" s="36"/>
      <c r="I119" s="36"/>
      <c r="J119" s="36"/>
      <c r="K119" s="37"/>
      <c r="L119" s="36"/>
      <c r="M119" s="36"/>
      <c r="N119" s="36"/>
      <c r="O119" s="81">
        <v>30000</v>
      </c>
      <c r="P119" s="36"/>
      <c r="Q119" s="36"/>
      <c r="R119" s="36"/>
      <c r="S119" s="81">
        <v>4000</v>
      </c>
      <c r="T119" s="36"/>
      <c r="U119" s="36"/>
      <c r="V119" s="81">
        <v>4000</v>
      </c>
    </row>
    <row r="120" spans="1:22" s="38" customFormat="1" ht="45">
      <c r="A120" s="79" t="s">
        <v>121</v>
      </c>
      <c r="B120" s="90" t="s">
        <v>136</v>
      </c>
      <c r="C120" s="33"/>
      <c r="D120" s="33"/>
      <c r="E120" s="67" t="s">
        <v>60</v>
      </c>
      <c r="F120" s="33"/>
      <c r="G120" s="91">
        <f>45373.87</f>
        <v>45373.87</v>
      </c>
      <c r="H120" s="36"/>
      <c r="I120" s="36"/>
      <c r="J120" s="46"/>
      <c r="K120" s="37"/>
      <c r="L120" s="36"/>
      <c r="M120" s="36"/>
      <c r="N120" s="46"/>
      <c r="O120" s="74">
        <v>42000</v>
      </c>
      <c r="P120" s="36"/>
      <c r="Q120" s="36"/>
      <c r="R120" s="46"/>
      <c r="S120" s="81">
        <v>1000</v>
      </c>
      <c r="T120" s="36"/>
      <c r="U120" s="36"/>
      <c r="V120" s="81">
        <v>1000</v>
      </c>
    </row>
    <row r="121" spans="1:22" s="38" customFormat="1" ht="75">
      <c r="A121" s="79" t="s">
        <v>123</v>
      </c>
      <c r="B121" s="92" t="s">
        <v>137</v>
      </c>
      <c r="C121" s="33"/>
      <c r="D121" s="33"/>
      <c r="E121" s="71" t="s">
        <v>62</v>
      </c>
      <c r="F121" s="33"/>
      <c r="G121" s="12">
        <v>45000</v>
      </c>
      <c r="H121" s="36"/>
      <c r="I121" s="36"/>
      <c r="J121" s="46"/>
      <c r="K121" s="37"/>
      <c r="L121" s="36"/>
      <c r="M121" s="36"/>
      <c r="N121" s="46"/>
      <c r="O121" s="12">
        <v>24000</v>
      </c>
      <c r="P121" s="36"/>
      <c r="Q121" s="36"/>
      <c r="R121" s="46"/>
      <c r="S121" s="88">
        <v>2000</v>
      </c>
      <c r="T121" s="36"/>
      <c r="U121" s="36"/>
      <c r="V121" s="88">
        <v>2000</v>
      </c>
    </row>
    <row r="122" spans="1:22" s="38" customFormat="1" ht="30">
      <c r="A122" s="79" t="s">
        <v>125</v>
      </c>
      <c r="B122" s="80" t="s">
        <v>50</v>
      </c>
      <c r="C122" s="33"/>
      <c r="D122" s="33"/>
      <c r="E122" s="67" t="s">
        <v>62</v>
      </c>
      <c r="F122" s="33"/>
      <c r="G122" s="12">
        <f>11270.512+308.58+359.794+1220.842+143.051+189.477</f>
        <v>13492.256000000001</v>
      </c>
      <c r="H122" s="36"/>
      <c r="I122" s="36"/>
      <c r="J122" s="46"/>
      <c r="K122" s="37"/>
      <c r="L122" s="36"/>
      <c r="M122" s="36"/>
      <c r="N122" s="46"/>
      <c r="O122" s="74">
        <v>12070</v>
      </c>
      <c r="P122" s="36"/>
      <c r="Q122" s="36"/>
      <c r="R122" s="46"/>
      <c r="S122" s="82">
        <v>930</v>
      </c>
      <c r="T122" s="36"/>
      <c r="U122" s="36"/>
      <c r="V122" s="82">
        <v>930</v>
      </c>
    </row>
    <row r="123" spans="1:22" s="38" customFormat="1" ht="30">
      <c r="A123" s="79" t="s">
        <v>127</v>
      </c>
      <c r="B123" s="80" t="s">
        <v>138</v>
      </c>
      <c r="C123" s="33"/>
      <c r="D123" s="33"/>
      <c r="E123" s="71" t="s">
        <v>64</v>
      </c>
      <c r="F123" s="33"/>
      <c r="G123" s="81">
        <v>4962</v>
      </c>
      <c r="H123" s="36"/>
      <c r="I123" s="36"/>
      <c r="J123" s="46"/>
      <c r="K123" s="37"/>
      <c r="L123" s="36"/>
      <c r="M123" s="36"/>
      <c r="N123" s="46"/>
      <c r="O123" s="74">
        <v>4400</v>
      </c>
      <c r="P123" s="36"/>
      <c r="Q123" s="36"/>
      <c r="R123" s="46"/>
      <c r="S123" s="88">
        <v>0</v>
      </c>
      <c r="T123" s="36"/>
      <c r="U123" s="36"/>
      <c r="V123" s="88">
        <v>0</v>
      </c>
    </row>
    <row r="124" spans="1:22" s="38" customFormat="1" ht="75">
      <c r="A124" s="79" t="s">
        <v>129</v>
      </c>
      <c r="B124" s="83" t="s">
        <v>57</v>
      </c>
      <c r="C124" s="33"/>
      <c r="D124" s="33"/>
      <c r="E124" s="93" t="s">
        <v>66</v>
      </c>
      <c r="F124" s="33"/>
      <c r="G124" s="82">
        <f>149471.551+4448+2879.835+9171.532+942.252+13856.261</f>
        <v>180769.431</v>
      </c>
      <c r="H124" s="36"/>
      <c r="I124" s="36"/>
      <c r="J124" s="46"/>
      <c r="K124" s="37"/>
      <c r="L124" s="36"/>
      <c r="M124" s="36"/>
      <c r="N124" s="46"/>
      <c r="O124" s="88">
        <v>91700</v>
      </c>
      <c r="P124" s="36"/>
      <c r="Q124" s="36"/>
      <c r="R124" s="46"/>
      <c r="S124" s="82">
        <v>0</v>
      </c>
      <c r="T124" s="36"/>
      <c r="U124" s="36"/>
      <c r="V124" s="82">
        <v>0</v>
      </c>
    </row>
    <row r="125" spans="1:22" s="38" customFormat="1" ht="60">
      <c r="A125" s="79" t="s">
        <v>139</v>
      </c>
      <c r="B125" s="83" t="s">
        <v>140</v>
      </c>
      <c r="C125" s="33"/>
      <c r="D125" s="33"/>
      <c r="E125" s="94"/>
      <c r="F125" s="33"/>
      <c r="G125" s="88"/>
      <c r="H125" s="36"/>
      <c r="I125" s="36"/>
      <c r="J125" s="36"/>
      <c r="K125" s="37"/>
      <c r="L125" s="36"/>
      <c r="M125" s="36"/>
      <c r="N125" s="36"/>
      <c r="O125" s="88">
        <v>10500</v>
      </c>
      <c r="P125" s="36"/>
      <c r="Q125" s="36"/>
      <c r="R125" s="36"/>
      <c r="S125" s="82">
        <v>0</v>
      </c>
      <c r="T125" s="36"/>
      <c r="U125" s="36"/>
      <c r="V125" s="82">
        <v>0</v>
      </c>
    </row>
    <row r="126" spans="1:22" s="38" customFormat="1" ht="30">
      <c r="A126" s="79" t="s">
        <v>141</v>
      </c>
      <c r="B126" s="83" t="s">
        <v>142</v>
      </c>
      <c r="C126" s="33"/>
      <c r="D126" s="33"/>
      <c r="E126" s="94"/>
      <c r="F126" s="33"/>
      <c r="G126" s="95"/>
      <c r="H126" s="36"/>
      <c r="I126" s="36"/>
      <c r="J126" s="46"/>
      <c r="K126" s="37"/>
      <c r="L126" s="36"/>
      <c r="M126" s="36"/>
      <c r="N126" s="46"/>
      <c r="O126" s="88">
        <v>25500</v>
      </c>
      <c r="P126" s="36"/>
      <c r="Q126" s="36"/>
      <c r="R126" s="46"/>
      <c r="S126" s="82">
        <v>0</v>
      </c>
      <c r="T126" s="36"/>
      <c r="U126" s="36"/>
      <c r="V126" s="82">
        <v>0</v>
      </c>
    </row>
    <row r="127" spans="1:22" s="38" customFormat="1" ht="30">
      <c r="A127" s="79" t="s">
        <v>143</v>
      </c>
      <c r="B127" s="83" t="s">
        <v>144</v>
      </c>
      <c r="C127" s="33"/>
      <c r="D127" s="33"/>
      <c r="E127" s="94"/>
      <c r="F127" s="33"/>
      <c r="G127" s="95"/>
      <c r="H127" s="36"/>
      <c r="I127" s="36"/>
      <c r="J127" s="46"/>
      <c r="K127" s="37"/>
      <c r="L127" s="36"/>
      <c r="M127" s="36"/>
      <c r="N127" s="46"/>
      <c r="O127" s="88">
        <v>30000</v>
      </c>
      <c r="P127" s="36"/>
      <c r="Q127" s="36"/>
      <c r="R127" s="46"/>
      <c r="S127" s="82"/>
      <c r="T127" s="36"/>
      <c r="U127" s="36"/>
      <c r="V127" s="82"/>
    </row>
    <row r="128" spans="1:22" s="38" customFormat="1" ht="30">
      <c r="A128" s="79" t="s">
        <v>145</v>
      </c>
      <c r="B128" s="83" t="s">
        <v>146</v>
      </c>
      <c r="C128" s="33"/>
      <c r="D128" s="33"/>
      <c r="E128" s="94"/>
      <c r="F128" s="33"/>
      <c r="G128" s="95"/>
      <c r="H128" s="36"/>
      <c r="I128" s="36"/>
      <c r="J128" s="46"/>
      <c r="K128" s="37"/>
      <c r="L128" s="36"/>
      <c r="M128" s="36"/>
      <c r="N128" s="46"/>
      <c r="O128" s="88">
        <v>25700</v>
      </c>
      <c r="P128" s="36"/>
      <c r="Q128" s="36"/>
      <c r="R128" s="46"/>
      <c r="S128" s="82">
        <v>0</v>
      </c>
      <c r="T128" s="36"/>
      <c r="U128" s="36"/>
      <c r="V128" s="82">
        <v>0</v>
      </c>
    </row>
    <row r="129" spans="1:22" s="38" customFormat="1" ht="30">
      <c r="A129" s="79" t="s">
        <v>147</v>
      </c>
      <c r="B129" s="83" t="s">
        <v>40</v>
      </c>
      <c r="C129" s="33"/>
      <c r="D129" s="33"/>
      <c r="E129" s="60" t="s">
        <v>63</v>
      </c>
      <c r="F129" s="33"/>
      <c r="G129" s="74">
        <v>413916.7</v>
      </c>
      <c r="H129" s="36"/>
      <c r="I129" s="36"/>
      <c r="J129" s="46"/>
      <c r="K129" s="37"/>
      <c r="L129" s="36"/>
      <c r="M129" s="36"/>
      <c r="N129" s="46"/>
      <c r="O129" s="96">
        <v>149204.373</v>
      </c>
      <c r="P129" s="36"/>
      <c r="Q129" s="36"/>
      <c r="R129" s="46"/>
      <c r="S129" s="82">
        <v>4154.478999999999</v>
      </c>
      <c r="T129" s="36"/>
      <c r="U129" s="36"/>
      <c r="V129" s="82">
        <v>4154.478999999999</v>
      </c>
    </row>
    <row r="130" spans="1:22" s="38" customFormat="1" ht="60">
      <c r="A130" s="79" t="s">
        <v>148</v>
      </c>
      <c r="B130" s="90" t="s">
        <v>149</v>
      </c>
      <c r="C130" s="33"/>
      <c r="D130" s="33"/>
      <c r="E130" s="67" t="s">
        <v>62</v>
      </c>
      <c r="F130" s="33"/>
      <c r="G130" s="12">
        <f>8688.084+155.082+136.87+96.233</f>
        <v>9076.269000000002</v>
      </c>
      <c r="H130" s="36"/>
      <c r="I130" s="36"/>
      <c r="J130" s="46"/>
      <c r="K130" s="37"/>
      <c r="L130" s="36"/>
      <c r="M130" s="36"/>
      <c r="N130" s="46"/>
      <c r="O130" s="45">
        <v>8300</v>
      </c>
      <c r="P130" s="36"/>
      <c r="Q130" s="36"/>
      <c r="R130" s="46"/>
      <c r="S130" s="72">
        <v>700</v>
      </c>
      <c r="T130" s="36"/>
      <c r="U130" s="36"/>
      <c r="V130" s="72">
        <v>700</v>
      </c>
    </row>
    <row r="131" spans="1:22" s="38" customFormat="1" ht="30">
      <c r="A131" s="79" t="s">
        <v>150</v>
      </c>
      <c r="B131" s="90" t="s">
        <v>151</v>
      </c>
      <c r="C131" s="33"/>
      <c r="D131" s="33"/>
      <c r="E131" s="67" t="s">
        <v>60</v>
      </c>
      <c r="F131" s="33"/>
      <c r="G131" s="12">
        <v>100000</v>
      </c>
      <c r="H131" s="36"/>
      <c r="I131" s="36"/>
      <c r="J131" s="46"/>
      <c r="K131" s="37"/>
      <c r="L131" s="36"/>
      <c r="M131" s="36"/>
      <c r="N131" s="46"/>
      <c r="O131" s="45">
        <v>87000</v>
      </c>
      <c r="P131" s="36"/>
      <c r="Q131" s="36"/>
      <c r="R131" s="46"/>
      <c r="S131" s="72">
        <v>6156.648</v>
      </c>
      <c r="T131" s="36"/>
      <c r="U131" s="36"/>
      <c r="V131" s="72">
        <v>6156.648</v>
      </c>
    </row>
    <row r="132" spans="1:22" s="38" customFormat="1" ht="30">
      <c r="A132" s="79" t="s">
        <v>152</v>
      </c>
      <c r="B132" s="66" t="s">
        <v>37</v>
      </c>
      <c r="C132" s="33"/>
      <c r="D132" s="33"/>
      <c r="E132" s="93" t="s">
        <v>59</v>
      </c>
      <c r="F132" s="33"/>
      <c r="G132" s="81">
        <f>582.972+46435.556+1854.166</f>
        <v>48872.693999999996</v>
      </c>
      <c r="H132" s="36"/>
      <c r="I132" s="36"/>
      <c r="J132" s="46"/>
      <c r="K132" s="37"/>
      <c r="L132" s="36"/>
      <c r="M132" s="36"/>
      <c r="N132" s="46"/>
      <c r="O132" s="96">
        <v>32160.270000000004</v>
      </c>
      <c r="P132" s="36"/>
      <c r="Q132" s="36"/>
      <c r="R132" s="46"/>
      <c r="S132" s="82">
        <v>3000</v>
      </c>
      <c r="T132" s="36"/>
      <c r="U132" s="36"/>
      <c r="V132" s="82">
        <v>3000</v>
      </c>
    </row>
    <row r="133" spans="1:22" s="38" customFormat="1" ht="28.5">
      <c r="A133" s="94" t="s">
        <v>33</v>
      </c>
      <c r="B133" s="76" t="s">
        <v>153</v>
      </c>
      <c r="C133" s="33"/>
      <c r="D133" s="33"/>
      <c r="E133" s="67"/>
      <c r="F133" s="33"/>
      <c r="G133" s="81"/>
      <c r="H133" s="36"/>
      <c r="I133" s="36"/>
      <c r="J133" s="46"/>
      <c r="K133" s="37"/>
      <c r="L133" s="36"/>
      <c r="M133" s="36"/>
      <c r="N133" s="46"/>
      <c r="O133" s="78">
        <f>SUM(O110:O134)</f>
        <v>5700.5</v>
      </c>
      <c r="P133" s="36"/>
      <c r="Q133" s="36"/>
      <c r="R133" s="46"/>
      <c r="S133" s="78">
        <v>150000</v>
      </c>
      <c r="T133" s="36"/>
      <c r="U133" s="36"/>
      <c r="V133" s="78">
        <v>150000</v>
      </c>
    </row>
    <row r="134" spans="1:22" s="38" customFormat="1" ht="45">
      <c r="A134" s="79" t="s">
        <v>89</v>
      </c>
      <c r="B134" s="85" t="s">
        <v>41</v>
      </c>
      <c r="C134" s="33"/>
      <c r="D134" s="33"/>
      <c r="E134" s="86" t="s">
        <v>19</v>
      </c>
      <c r="F134" s="33"/>
      <c r="G134" s="81">
        <v>3712970</v>
      </c>
      <c r="H134" s="36"/>
      <c r="I134" s="36"/>
      <c r="J134" s="46"/>
      <c r="K134" s="37"/>
      <c r="L134" s="36"/>
      <c r="M134" s="36"/>
      <c r="N134" s="46"/>
      <c r="O134" s="74">
        <f>500000+200000+250000+1075000+235350+50000</f>
        <v>2310350</v>
      </c>
      <c r="P134" s="36"/>
      <c r="Q134" s="36"/>
      <c r="R134" s="46"/>
      <c r="S134" s="82">
        <v>150000</v>
      </c>
      <c r="T134" s="36"/>
      <c r="U134" s="36"/>
      <c r="V134" s="82">
        <v>150000</v>
      </c>
    </row>
    <row r="135" spans="1:22" s="38" customFormat="1" ht="15">
      <c r="A135" s="94" t="s">
        <v>34</v>
      </c>
      <c r="B135" s="76" t="s">
        <v>38</v>
      </c>
      <c r="C135" s="33"/>
      <c r="D135" s="33"/>
      <c r="E135" s="94"/>
      <c r="F135" s="33"/>
      <c r="G135" s="95">
        <f>G136+G170</f>
        <v>9873516.43</v>
      </c>
      <c r="H135" s="36"/>
      <c r="I135" s="36"/>
      <c r="J135" s="46"/>
      <c r="K135" s="37"/>
      <c r="L135" s="36"/>
      <c r="M135" s="36"/>
      <c r="N135" s="46"/>
      <c r="O135" s="95">
        <f>O136+O170</f>
        <v>3806296.789</v>
      </c>
      <c r="P135" s="36"/>
      <c r="Q135" s="36"/>
      <c r="R135" s="46"/>
      <c r="S135" s="95">
        <v>308809.01800000004</v>
      </c>
      <c r="T135" s="36"/>
      <c r="U135" s="36"/>
      <c r="V135" s="95">
        <v>308809.01800000004</v>
      </c>
    </row>
    <row r="136" spans="1:22" s="38" customFormat="1" ht="28.5">
      <c r="A136" s="94" t="s">
        <v>154</v>
      </c>
      <c r="B136" s="76" t="s">
        <v>155</v>
      </c>
      <c r="C136" s="33"/>
      <c r="D136" s="33"/>
      <c r="E136" s="94"/>
      <c r="F136" s="33"/>
      <c r="G136" s="95">
        <f>G137+G140+G146+G151+G155+G159+G165</f>
        <v>2572705.853</v>
      </c>
      <c r="H136" s="36"/>
      <c r="I136" s="36"/>
      <c r="J136" s="46"/>
      <c r="K136" s="37"/>
      <c r="L136" s="36"/>
      <c r="M136" s="36"/>
      <c r="N136" s="46"/>
      <c r="O136" s="95">
        <f>O137+O140+O146+O151+O155+O159+O165</f>
        <v>1040646.789</v>
      </c>
      <c r="P136" s="36"/>
      <c r="Q136" s="36"/>
      <c r="R136" s="46"/>
      <c r="S136" s="95">
        <v>194596.138</v>
      </c>
      <c r="T136" s="36"/>
      <c r="U136" s="36"/>
      <c r="V136" s="95">
        <v>194596.138</v>
      </c>
    </row>
    <row r="137" spans="1:22" s="38" customFormat="1" ht="15">
      <c r="A137" s="94" t="s">
        <v>156</v>
      </c>
      <c r="B137" s="76" t="s">
        <v>157</v>
      </c>
      <c r="C137" s="33"/>
      <c r="D137" s="33"/>
      <c r="E137" s="94"/>
      <c r="F137" s="33"/>
      <c r="G137" s="95">
        <f>SUM(G138:G138)</f>
        <v>950096.5630000002</v>
      </c>
      <c r="H137" s="36"/>
      <c r="I137" s="36"/>
      <c r="J137" s="46"/>
      <c r="K137" s="37"/>
      <c r="L137" s="36"/>
      <c r="M137" s="36"/>
      <c r="N137" s="46"/>
      <c r="O137" s="95">
        <f>SUM(O138:O138)</f>
        <v>244258.364</v>
      </c>
      <c r="P137" s="36"/>
      <c r="Q137" s="36"/>
      <c r="R137" s="46"/>
      <c r="S137" s="95">
        <v>10000</v>
      </c>
      <c r="T137" s="36"/>
      <c r="U137" s="36"/>
      <c r="V137" s="95">
        <v>10000</v>
      </c>
    </row>
    <row r="138" spans="1:22" s="38" customFormat="1" ht="45">
      <c r="A138" s="97" t="s">
        <v>89</v>
      </c>
      <c r="B138" s="66" t="s">
        <v>158</v>
      </c>
      <c r="C138" s="33"/>
      <c r="D138" s="33"/>
      <c r="E138" s="98" t="s">
        <v>517</v>
      </c>
      <c r="F138" s="33"/>
      <c r="G138" s="12">
        <f>648770.211+50867.042+17790.042+10445.422+2089.084+68125.209+28083.827+123925.726</f>
        <v>950096.5630000002</v>
      </c>
      <c r="H138" s="36"/>
      <c r="I138" s="36"/>
      <c r="J138" s="46"/>
      <c r="K138" s="37"/>
      <c r="L138" s="36"/>
      <c r="M138" s="36"/>
      <c r="N138" s="46"/>
      <c r="O138" s="74">
        <f>(9000+1000+1061.254+7101.33+730.78)+140000+30000+800+2000+32565+10000+10000</f>
        <v>244258.364</v>
      </c>
      <c r="P138" s="36"/>
      <c r="Q138" s="36"/>
      <c r="R138" s="46"/>
      <c r="S138" s="99">
        <v>10000</v>
      </c>
      <c r="T138" s="36"/>
      <c r="U138" s="36"/>
      <c r="V138" s="99">
        <v>10000</v>
      </c>
    </row>
    <row r="139" spans="1:22" s="38" customFormat="1" ht="75">
      <c r="A139" s="97" t="s">
        <v>106</v>
      </c>
      <c r="B139" s="66" t="s">
        <v>159</v>
      </c>
      <c r="C139" s="33"/>
      <c r="D139" s="33"/>
      <c r="E139" s="98" t="s">
        <v>518</v>
      </c>
      <c r="F139" s="33"/>
      <c r="G139" s="12"/>
      <c r="H139" s="36"/>
      <c r="I139" s="36"/>
      <c r="J139" s="46"/>
      <c r="K139" s="37"/>
      <c r="L139" s="36"/>
      <c r="M139" s="36"/>
      <c r="N139" s="46"/>
      <c r="O139" s="74"/>
      <c r="P139" s="36"/>
      <c r="Q139" s="36"/>
      <c r="R139" s="46"/>
      <c r="S139" s="99">
        <v>10000</v>
      </c>
      <c r="T139" s="36"/>
      <c r="U139" s="36"/>
      <c r="V139" s="99">
        <v>10000</v>
      </c>
    </row>
    <row r="140" spans="1:22" s="38" customFormat="1" ht="15">
      <c r="A140" s="94" t="s">
        <v>160</v>
      </c>
      <c r="B140" s="76" t="s">
        <v>161</v>
      </c>
      <c r="C140" s="33"/>
      <c r="D140" s="33"/>
      <c r="E140" s="94"/>
      <c r="F140" s="33"/>
      <c r="G140" s="95">
        <f>SUM(G141:G145)</f>
        <v>425452.782</v>
      </c>
      <c r="H140" s="36"/>
      <c r="I140" s="36"/>
      <c r="J140" s="46"/>
      <c r="K140" s="37"/>
      <c r="L140" s="36"/>
      <c r="M140" s="36"/>
      <c r="N140" s="46"/>
      <c r="O140" s="95">
        <f>SUM(O141:O145)</f>
        <v>206604.45500000002</v>
      </c>
      <c r="P140" s="36"/>
      <c r="Q140" s="36"/>
      <c r="R140" s="46"/>
      <c r="S140" s="95">
        <v>22000</v>
      </c>
      <c r="T140" s="36"/>
      <c r="U140" s="36"/>
      <c r="V140" s="95">
        <v>22000</v>
      </c>
    </row>
    <row r="141" spans="1:22" s="38" customFormat="1" ht="60">
      <c r="A141" s="100" t="s">
        <v>89</v>
      </c>
      <c r="B141" s="83" t="s">
        <v>55</v>
      </c>
      <c r="C141" s="33"/>
      <c r="D141" s="33"/>
      <c r="E141" s="71"/>
      <c r="F141" s="33"/>
      <c r="G141" s="12">
        <f>51126.449+634.115+929.748+2727.012+2750+2970.684+8927.07+13173.904</f>
        <v>83238.982</v>
      </c>
      <c r="H141" s="36"/>
      <c r="I141" s="36"/>
      <c r="J141" s="46"/>
      <c r="K141" s="37"/>
      <c r="L141" s="36"/>
      <c r="M141" s="36"/>
      <c r="N141" s="46"/>
      <c r="O141" s="12">
        <f>(1800+2500+2000-1380-2500+10000+10000)+10000+10000+10000</f>
        <v>52420</v>
      </c>
      <c r="P141" s="36"/>
      <c r="Q141" s="36"/>
      <c r="R141" s="46"/>
      <c r="S141" s="88">
        <v>10000</v>
      </c>
      <c r="T141" s="36"/>
      <c r="U141" s="36"/>
      <c r="V141" s="88">
        <v>10000</v>
      </c>
    </row>
    <row r="142" spans="1:22" s="38" customFormat="1" ht="75">
      <c r="A142" s="100" t="s">
        <v>91</v>
      </c>
      <c r="B142" s="83" t="s">
        <v>56</v>
      </c>
      <c r="C142" s="33"/>
      <c r="D142" s="33"/>
      <c r="E142" s="71"/>
      <c r="F142" s="33"/>
      <c r="G142" s="12">
        <f>66732.236+534.621+1322.699+4652.715+860+3629.659+1500+8768.07</f>
        <v>88000</v>
      </c>
      <c r="H142" s="36"/>
      <c r="I142" s="36"/>
      <c r="J142" s="46"/>
      <c r="K142" s="37"/>
      <c r="L142" s="36"/>
      <c r="M142" s="36"/>
      <c r="N142" s="46"/>
      <c r="O142" s="12">
        <f>(3000+2000+1700-1179.743-520.257+15000)+15000+10000+5000</f>
        <v>50000</v>
      </c>
      <c r="P142" s="36"/>
      <c r="Q142" s="36"/>
      <c r="R142" s="46"/>
      <c r="S142" s="88">
        <v>10000</v>
      </c>
      <c r="T142" s="36"/>
      <c r="U142" s="36"/>
      <c r="V142" s="88">
        <v>10000</v>
      </c>
    </row>
    <row r="143" spans="1:22" s="38" customFormat="1" ht="45">
      <c r="A143" s="100" t="s">
        <v>93</v>
      </c>
      <c r="B143" s="101" t="s">
        <v>22</v>
      </c>
      <c r="C143" s="33"/>
      <c r="D143" s="33"/>
      <c r="E143" s="67"/>
      <c r="F143" s="33"/>
      <c r="G143" s="82">
        <v>54213.8</v>
      </c>
      <c r="H143" s="36"/>
      <c r="I143" s="36"/>
      <c r="J143" s="46"/>
      <c r="K143" s="37"/>
      <c r="L143" s="36"/>
      <c r="M143" s="36"/>
      <c r="N143" s="46"/>
      <c r="O143" s="88">
        <f>(12324+4000-1800-439.545+15000)+5000+3000</f>
        <v>37084.455</v>
      </c>
      <c r="P143" s="36"/>
      <c r="Q143" s="36"/>
      <c r="R143" s="46"/>
      <c r="S143" s="88">
        <v>2000</v>
      </c>
      <c r="T143" s="36"/>
      <c r="U143" s="36"/>
      <c r="V143" s="88">
        <v>2000</v>
      </c>
    </row>
    <row r="144" spans="1:22" s="38" customFormat="1" ht="30">
      <c r="A144" s="100" t="s">
        <v>95</v>
      </c>
      <c r="B144" s="102" t="s">
        <v>162</v>
      </c>
      <c r="C144" s="33"/>
      <c r="D144" s="33"/>
      <c r="E144" s="67" t="s">
        <v>66</v>
      </c>
      <c r="F144" s="33"/>
      <c r="G144" s="81">
        <f>5000+95175.821+1698.861+5624.046+2257.184+10244.088</f>
        <v>120000</v>
      </c>
      <c r="H144" s="36"/>
      <c r="I144" s="36"/>
      <c r="J144" s="46"/>
      <c r="K144" s="37"/>
      <c r="L144" s="36"/>
      <c r="M144" s="36"/>
      <c r="N144" s="46"/>
      <c r="O144" s="74">
        <f>100+10000+38000</f>
        <v>48100</v>
      </c>
      <c r="P144" s="36"/>
      <c r="Q144" s="36"/>
      <c r="R144" s="46"/>
      <c r="S144" s="82">
        <v>0</v>
      </c>
      <c r="T144" s="36"/>
      <c r="U144" s="36"/>
      <c r="V144" s="82">
        <v>0</v>
      </c>
    </row>
    <row r="145" spans="1:22" s="38" customFormat="1" ht="60">
      <c r="A145" s="100" t="s">
        <v>97</v>
      </c>
      <c r="B145" s="85" t="s">
        <v>71</v>
      </c>
      <c r="C145" s="33"/>
      <c r="D145" s="33"/>
      <c r="E145" s="67"/>
      <c r="F145" s="33"/>
      <c r="G145" s="81">
        <f>61698.648+804.911+1182.217+3642.343+1425.362+7000+4246.519</f>
        <v>79999.99999999999</v>
      </c>
      <c r="H145" s="36"/>
      <c r="I145" s="36"/>
      <c r="J145" s="46"/>
      <c r="K145" s="37"/>
      <c r="L145" s="36"/>
      <c r="M145" s="36"/>
      <c r="N145" s="46"/>
      <c r="O145" s="74">
        <f>50000-38000+7000</f>
        <v>19000</v>
      </c>
      <c r="P145" s="36"/>
      <c r="Q145" s="36"/>
      <c r="R145" s="46"/>
      <c r="S145" s="82">
        <v>0</v>
      </c>
      <c r="T145" s="36"/>
      <c r="U145" s="36"/>
      <c r="V145" s="82">
        <v>0</v>
      </c>
    </row>
    <row r="146" spans="1:22" s="38" customFormat="1" ht="15">
      <c r="A146" s="94" t="s">
        <v>163</v>
      </c>
      <c r="B146" s="76" t="s">
        <v>164</v>
      </c>
      <c r="C146" s="33"/>
      <c r="D146" s="33"/>
      <c r="E146" s="94"/>
      <c r="F146" s="33"/>
      <c r="G146" s="95">
        <f>G147+G150</f>
        <v>336300</v>
      </c>
      <c r="H146" s="36"/>
      <c r="I146" s="36"/>
      <c r="J146" s="46"/>
      <c r="K146" s="37"/>
      <c r="L146" s="36"/>
      <c r="M146" s="36"/>
      <c r="N146" s="46"/>
      <c r="O146" s="95">
        <f>O147+O150</f>
        <v>130066.4</v>
      </c>
      <c r="P146" s="36"/>
      <c r="Q146" s="36"/>
      <c r="R146" s="46"/>
      <c r="S146" s="95">
        <v>38000</v>
      </c>
      <c r="T146" s="36"/>
      <c r="U146" s="36"/>
      <c r="V146" s="95">
        <v>38000</v>
      </c>
    </row>
    <row r="147" spans="1:22" s="38" customFormat="1" ht="60">
      <c r="A147" s="79" t="s">
        <v>89</v>
      </c>
      <c r="B147" s="80" t="s">
        <v>165</v>
      </c>
      <c r="C147" s="33"/>
      <c r="D147" s="33"/>
      <c r="E147" s="67" t="s">
        <v>19</v>
      </c>
      <c r="F147" s="33"/>
      <c r="G147" s="81">
        <f>176935.453+2727.187+9969.699+3064.459+30000+15603.202</f>
        <v>238300</v>
      </c>
      <c r="H147" s="36"/>
      <c r="I147" s="36"/>
      <c r="J147" s="46"/>
      <c r="K147" s="37"/>
      <c r="L147" s="36"/>
      <c r="M147" s="36"/>
      <c r="N147" s="46"/>
      <c r="O147" s="74">
        <f>25019+30000</f>
        <v>55019</v>
      </c>
      <c r="P147" s="36"/>
      <c r="Q147" s="36"/>
      <c r="R147" s="46"/>
      <c r="S147" s="82">
        <v>38000</v>
      </c>
      <c r="T147" s="36"/>
      <c r="U147" s="36"/>
      <c r="V147" s="82">
        <v>38000</v>
      </c>
    </row>
    <row r="148" spans="1:22" s="38" customFormat="1" ht="30">
      <c r="A148" s="79" t="s">
        <v>106</v>
      </c>
      <c r="B148" s="80" t="s">
        <v>166</v>
      </c>
      <c r="C148" s="33"/>
      <c r="D148" s="33"/>
      <c r="E148" s="67"/>
      <c r="F148" s="33"/>
      <c r="G148" s="81"/>
      <c r="H148" s="36"/>
      <c r="I148" s="36"/>
      <c r="J148" s="46"/>
      <c r="K148" s="37"/>
      <c r="L148" s="36"/>
      <c r="M148" s="36"/>
      <c r="N148" s="46"/>
      <c r="O148" s="74"/>
      <c r="P148" s="36"/>
      <c r="Q148" s="36"/>
      <c r="R148" s="46"/>
      <c r="S148" s="74">
        <v>18000</v>
      </c>
      <c r="T148" s="36"/>
      <c r="U148" s="36"/>
      <c r="V148" s="74">
        <v>18000</v>
      </c>
    </row>
    <row r="149" spans="1:22" s="38" customFormat="1" ht="90">
      <c r="A149" s="79" t="s">
        <v>106</v>
      </c>
      <c r="B149" s="80" t="s">
        <v>167</v>
      </c>
      <c r="C149" s="33"/>
      <c r="D149" s="33"/>
      <c r="E149" s="67"/>
      <c r="F149" s="33"/>
      <c r="G149" s="74"/>
      <c r="H149" s="36"/>
      <c r="I149" s="36"/>
      <c r="J149" s="46"/>
      <c r="K149" s="37"/>
      <c r="L149" s="36"/>
      <c r="M149" s="36"/>
      <c r="N149" s="46"/>
      <c r="O149" s="74"/>
      <c r="P149" s="36"/>
      <c r="Q149" s="36"/>
      <c r="R149" s="46"/>
      <c r="S149" s="74">
        <v>20000</v>
      </c>
      <c r="T149" s="36"/>
      <c r="U149" s="36"/>
      <c r="V149" s="74">
        <v>20000</v>
      </c>
    </row>
    <row r="150" spans="1:22" s="38" customFormat="1" ht="60">
      <c r="A150" s="79" t="s">
        <v>91</v>
      </c>
      <c r="B150" s="83" t="s">
        <v>72</v>
      </c>
      <c r="C150" s="33"/>
      <c r="D150" s="33"/>
      <c r="E150" s="97" t="s">
        <v>19</v>
      </c>
      <c r="F150" s="33"/>
      <c r="G150" s="81">
        <v>98000</v>
      </c>
      <c r="H150" s="36"/>
      <c r="I150" s="36"/>
      <c r="J150" s="36"/>
      <c r="K150" s="37"/>
      <c r="L150" s="36"/>
      <c r="M150" s="36"/>
      <c r="N150" s="36"/>
      <c r="O150" s="84">
        <f>65200+10000+9000-9152.6</f>
        <v>75047.4</v>
      </c>
      <c r="P150" s="36"/>
      <c r="Q150" s="36"/>
      <c r="R150" s="36"/>
      <c r="S150" s="82">
        <v>0</v>
      </c>
      <c r="T150" s="36"/>
      <c r="U150" s="36"/>
      <c r="V150" s="82">
        <v>0</v>
      </c>
    </row>
    <row r="151" spans="1:22" s="38" customFormat="1" ht="15">
      <c r="A151" s="94" t="s">
        <v>168</v>
      </c>
      <c r="B151" s="76" t="s">
        <v>169</v>
      </c>
      <c r="C151" s="33"/>
      <c r="D151" s="33"/>
      <c r="E151" s="94"/>
      <c r="F151" s="33"/>
      <c r="G151" s="95">
        <f>SUM(G152:G154)</f>
        <v>186773.849</v>
      </c>
      <c r="H151" s="36"/>
      <c r="I151" s="36"/>
      <c r="J151" s="46"/>
      <c r="K151" s="37"/>
      <c r="L151" s="36"/>
      <c r="M151" s="36"/>
      <c r="N151" s="46"/>
      <c r="O151" s="95">
        <f>SUM(O152:O154)</f>
        <v>139600</v>
      </c>
      <c r="P151" s="36"/>
      <c r="Q151" s="36"/>
      <c r="R151" s="46"/>
      <c r="S151" s="95">
        <v>31900</v>
      </c>
      <c r="T151" s="36"/>
      <c r="U151" s="36"/>
      <c r="V151" s="95">
        <v>31900</v>
      </c>
    </row>
    <row r="152" spans="1:22" s="38" customFormat="1" ht="30">
      <c r="A152" s="103" t="s">
        <v>89</v>
      </c>
      <c r="B152" s="66" t="s">
        <v>25</v>
      </c>
      <c r="C152" s="33"/>
      <c r="D152" s="33"/>
      <c r="E152" s="67" t="s">
        <v>62</v>
      </c>
      <c r="F152" s="33"/>
      <c r="G152" s="81">
        <f>40261.41+4387.371+1118.655+3515.663+622.828+1075.073</f>
        <v>50981</v>
      </c>
      <c r="H152" s="36"/>
      <c r="I152" s="36"/>
      <c r="J152" s="36"/>
      <c r="K152" s="37"/>
      <c r="L152" s="36"/>
      <c r="M152" s="36"/>
      <c r="N152" s="36"/>
      <c r="O152" s="81">
        <f>5000+5000+10000+4100+10000+10000</f>
        <v>44100</v>
      </c>
      <c r="P152" s="36"/>
      <c r="Q152" s="36"/>
      <c r="R152" s="36"/>
      <c r="S152" s="81">
        <v>5900</v>
      </c>
      <c r="T152" s="36"/>
      <c r="U152" s="36"/>
      <c r="V152" s="81">
        <v>5900</v>
      </c>
    </row>
    <row r="153" spans="1:22" s="38" customFormat="1" ht="30">
      <c r="A153" s="103" t="s">
        <v>91</v>
      </c>
      <c r="B153" s="104" t="s">
        <v>51</v>
      </c>
      <c r="C153" s="33"/>
      <c r="D153" s="33"/>
      <c r="E153" s="67" t="s">
        <v>62</v>
      </c>
      <c r="F153" s="33"/>
      <c r="G153" s="81">
        <f>29719.925+2200+859.923+2660.526+476.899+3591.727</f>
        <v>39508.99999999999</v>
      </c>
      <c r="H153" s="36"/>
      <c r="I153" s="36"/>
      <c r="J153" s="36"/>
      <c r="K153" s="37"/>
      <c r="L153" s="36"/>
      <c r="M153" s="36"/>
      <c r="N153" s="36"/>
      <c r="O153" s="74">
        <f>10000+10000+2500+13000</f>
        <v>35500</v>
      </c>
      <c r="P153" s="36"/>
      <c r="Q153" s="36"/>
      <c r="R153" s="36"/>
      <c r="S153" s="82">
        <v>1000</v>
      </c>
      <c r="T153" s="36"/>
      <c r="U153" s="36"/>
      <c r="V153" s="82">
        <v>1000</v>
      </c>
    </row>
    <row r="154" spans="1:22" s="38" customFormat="1" ht="45">
      <c r="A154" s="103" t="s">
        <v>93</v>
      </c>
      <c r="B154" s="80" t="s">
        <v>52</v>
      </c>
      <c r="C154" s="33"/>
      <c r="D154" s="33"/>
      <c r="E154" s="67" t="s">
        <v>19</v>
      </c>
      <c r="F154" s="33"/>
      <c r="G154" s="81">
        <f>9277.844+58367.663+9537.45+1598.099+4992.09+1165.647+11345.056</f>
        <v>96283.84899999999</v>
      </c>
      <c r="H154" s="36"/>
      <c r="I154" s="36"/>
      <c r="J154" s="46"/>
      <c r="K154" s="37"/>
      <c r="L154" s="36"/>
      <c r="M154" s="36"/>
      <c r="N154" s="46"/>
      <c r="O154" s="74">
        <f>10000+30000+20000</f>
        <v>60000</v>
      </c>
      <c r="P154" s="36"/>
      <c r="Q154" s="36"/>
      <c r="R154" s="46"/>
      <c r="S154" s="82">
        <v>25000</v>
      </c>
      <c r="T154" s="36"/>
      <c r="U154" s="36"/>
      <c r="V154" s="82">
        <v>25000</v>
      </c>
    </row>
    <row r="155" spans="1:22" s="38" customFormat="1" ht="15">
      <c r="A155" s="94" t="s">
        <v>170</v>
      </c>
      <c r="B155" s="76" t="s">
        <v>171</v>
      </c>
      <c r="C155" s="33"/>
      <c r="D155" s="33"/>
      <c r="E155" s="94"/>
      <c r="F155" s="33"/>
      <c r="G155" s="95">
        <f>SUM(G156:G158)</f>
        <v>330333.716</v>
      </c>
      <c r="H155" s="36"/>
      <c r="I155" s="36"/>
      <c r="J155" s="46"/>
      <c r="K155" s="37"/>
      <c r="L155" s="36"/>
      <c r="M155" s="36"/>
      <c r="N155" s="46"/>
      <c r="O155" s="95">
        <f>SUM(O156:O158)</f>
        <v>168983</v>
      </c>
      <c r="P155" s="36"/>
      <c r="Q155" s="36"/>
      <c r="R155" s="46"/>
      <c r="S155" s="95">
        <v>59030.138</v>
      </c>
      <c r="T155" s="36"/>
      <c r="U155" s="36"/>
      <c r="V155" s="95">
        <v>59030.138</v>
      </c>
    </row>
    <row r="156" spans="1:22" s="38" customFormat="1" ht="45">
      <c r="A156" s="103" t="s">
        <v>89</v>
      </c>
      <c r="B156" s="105" t="s">
        <v>49</v>
      </c>
      <c r="C156" s="33"/>
      <c r="D156" s="33"/>
      <c r="E156" s="71" t="s">
        <v>19</v>
      </c>
      <c r="F156" s="33"/>
      <c r="G156" s="12">
        <f>5000+50166.139+6084.178+1327.773+4279.381+669.281+1996.965</f>
        <v>69523.717</v>
      </c>
      <c r="H156" s="36"/>
      <c r="I156" s="36"/>
      <c r="J156" s="46"/>
      <c r="K156" s="37"/>
      <c r="L156" s="36"/>
      <c r="M156" s="36"/>
      <c r="N156" s="46"/>
      <c r="O156" s="74">
        <v>36433</v>
      </c>
      <c r="P156" s="36"/>
      <c r="Q156" s="36"/>
      <c r="R156" s="46"/>
      <c r="S156" s="88">
        <v>32212</v>
      </c>
      <c r="T156" s="36"/>
      <c r="U156" s="36"/>
      <c r="V156" s="88">
        <v>32212</v>
      </c>
    </row>
    <row r="157" spans="1:22" s="38" customFormat="1" ht="45">
      <c r="A157" s="103" t="s">
        <v>91</v>
      </c>
      <c r="B157" s="66" t="s">
        <v>54</v>
      </c>
      <c r="C157" s="33"/>
      <c r="D157" s="33"/>
      <c r="E157" s="67" t="s">
        <v>76</v>
      </c>
      <c r="F157" s="33"/>
      <c r="G157" s="82">
        <f>3638.752+729.685+136.851+355.05+64.139+75.522</f>
        <v>4999.999</v>
      </c>
      <c r="H157" s="36"/>
      <c r="I157" s="36"/>
      <c r="J157" s="36"/>
      <c r="K157" s="37"/>
      <c r="L157" s="36"/>
      <c r="M157" s="36"/>
      <c r="N157" s="36"/>
      <c r="O157" s="74">
        <v>2050</v>
      </c>
      <c r="P157" s="36"/>
      <c r="Q157" s="36"/>
      <c r="R157" s="36"/>
      <c r="S157" s="88">
        <v>2500</v>
      </c>
      <c r="T157" s="36"/>
      <c r="U157" s="36"/>
      <c r="V157" s="88">
        <v>2500</v>
      </c>
    </row>
    <row r="158" spans="1:22" s="38" customFormat="1" ht="30">
      <c r="A158" s="103" t="s">
        <v>93</v>
      </c>
      <c r="B158" s="66" t="s">
        <v>172</v>
      </c>
      <c r="C158" s="33"/>
      <c r="D158" s="33"/>
      <c r="E158" s="71" t="s">
        <v>19</v>
      </c>
      <c r="F158" s="33"/>
      <c r="G158" s="12">
        <v>255810</v>
      </c>
      <c r="H158" s="36"/>
      <c r="I158" s="36"/>
      <c r="J158" s="46"/>
      <c r="K158" s="37"/>
      <c r="L158" s="36"/>
      <c r="M158" s="36"/>
      <c r="N158" s="46"/>
      <c r="O158" s="74">
        <v>130500</v>
      </c>
      <c r="P158" s="36"/>
      <c r="Q158" s="36"/>
      <c r="R158" s="46"/>
      <c r="S158" s="88">
        <v>24318.138</v>
      </c>
      <c r="T158" s="36"/>
      <c r="U158" s="36"/>
      <c r="V158" s="88">
        <v>24318.138</v>
      </c>
    </row>
    <row r="159" spans="1:22" s="38" customFormat="1" ht="15">
      <c r="A159" s="94" t="s">
        <v>173</v>
      </c>
      <c r="B159" s="76" t="s">
        <v>174</v>
      </c>
      <c r="C159" s="33"/>
      <c r="D159" s="33"/>
      <c r="E159" s="94"/>
      <c r="F159" s="33"/>
      <c r="G159" s="95">
        <f>SUM(G160:G164)</f>
        <v>223148.943</v>
      </c>
      <c r="H159" s="36"/>
      <c r="I159" s="36"/>
      <c r="J159" s="46"/>
      <c r="K159" s="37"/>
      <c r="L159" s="36"/>
      <c r="M159" s="36"/>
      <c r="N159" s="46"/>
      <c r="O159" s="95">
        <f>SUM(O160:O164)</f>
        <v>120334</v>
      </c>
      <c r="P159" s="36"/>
      <c r="Q159" s="36"/>
      <c r="R159" s="46"/>
      <c r="S159" s="95">
        <v>30666</v>
      </c>
      <c r="T159" s="36"/>
      <c r="U159" s="36"/>
      <c r="V159" s="95">
        <v>30666</v>
      </c>
    </row>
    <row r="160" spans="1:22" s="38" customFormat="1" ht="45">
      <c r="A160" s="100" t="s">
        <v>89</v>
      </c>
      <c r="B160" s="106" t="s">
        <v>23</v>
      </c>
      <c r="C160" s="33"/>
      <c r="D160" s="33"/>
      <c r="E160" s="71" t="s">
        <v>66</v>
      </c>
      <c r="F160" s="33"/>
      <c r="G160" s="12">
        <f>49504.872+25462.55+1243.096+3969.711+3007.798+3960.916</f>
        <v>87148.943</v>
      </c>
      <c r="H160" s="36"/>
      <c r="I160" s="36"/>
      <c r="J160" s="46"/>
      <c r="K160" s="37"/>
      <c r="L160" s="36"/>
      <c r="M160" s="36"/>
      <c r="N160" s="46"/>
      <c r="O160" s="88">
        <v>74734</v>
      </c>
      <c r="P160" s="36"/>
      <c r="Q160" s="36"/>
      <c r="R160" s="46"/>
      <c r="S160" s="88">
        <v>7666</v>
      </c>
      <c r="T160" s="36"/>
      <c r="U160" s="36"/>
      <c r="V160" s="88">
        <v>7666</v>
      </c>
    </row>
    <row r="161" spans="1:22" s="38" customFormat="1" ht="60">
      <c r="A161" s="100" t="s">
        <v>91</v>
      </c>
      <c r="B161" s="106" t="s">
        <v>175</v>
      </c>
      <c r="C161" s="33"/>
      <c r="D161" s="33"/>
      <c r="E161" s="71" t="s">
        <v>77</v>
      </c>
      <c r="F161" s="33"/>
      <c r="G161" s="12">
        <v>5000</v>
      </c>
      <c r="H161" s="36"/>
      <c r="I161" s="36"/>
      <c r="J161" s="36"/>
      <c r="K161" s="37"/>
      <c r="L161" s="36"/>
      <c r="M161" s="36"/>
      <c r="N161" s="36"/>
      <c r="O161" s="88">
        <v>4000</v>
      </c>
      <c r="P161" s="36"/>
      <c r="Q161" s="36"/>
      <c r="R161" s="36"/>
      <c r="S161" s="88">
        <v>0</v>
      </c>
      <c r="T161" s="36"/>
      <c r="U161" s="36"/>
      <c r="V161" s="88">
        <v>0</v>
      </c>
    </row>
    <row r="162" spans="1:22" s="38" customFormat="1" ht="60">
      <c r="A162" s="100" t="s">
        <v>93</v>
      </c>
      <c r="B162" s="106" t="s">
        <v>176</v>
      </c>
      <c r="C162" s="33"/>
      <c r="D162" s="33"/>
      <c r="E162" s="71" t="s">
        <v>77</v>
      </c>
      <c r="F162" s="33"/>
      <c r="G162" s="12">
        <v>8000</v>
      </c>
      <c r="H162" s="36"/>
      <c r="I162" s="36"/>
      <c r="J162" s="46"/>
      <c r="K162" s="37"/>
      <c r="L162" s="36"/>
      <c r="M162" s="36"/>
      <c r="N162" s="46"/>
      <c r="O162" s="88">
        <v>1000</v>
      </c>
      <c r="P162" s="36"/>
      <c r="Q162" s="36"/>
      <c r="R162" s="46"/>
      <c r="S162" s="88">
        <v>0</v>
      </c>
      <c r="T162" s="36"/>
      <c r="U162" s="36"/>
      <c r="V162" s="88">
        <v>0</v>
      </c>
    </row>
    <row r="163" spans="1:22" s="38" customFormat="1" ht="30">
      <c r="A163" s="100" t="s">
        <v>95</v>
      </c>
      <c r="B163" s="106" t="s">
        <v>177</v>
      </c>
      <c r="C163" s="33"/>
      <c r="D163" s="33"/>
      <c r="E163" s="71" t="s">
        <v>78</v>
      </c>
      <c r="F163" s="33"/>
      <c r="G163" s="12">
        <v>38000</v>
      </c>
      <c r="H163" s="36"/>
      <c r="I163" s="36"/>
      <c r="J163" s="36"/>
      <c r="K163" s="37"/>
      <c r="L163" s="36"/>
      <c r="M163" s="36"/>
      <c r="N163" s="36"/>
      <c r="O163" s="88">
        <v>2600</v>
      </c>
      <c r="P163" s="36"/>
      <c r="Q163" s="36"/>
      <c r="R163" s="36"/>
      <c r="S163" s="12">
        <v>8000</v>
      </c>
      <c r="T163" s="36"/>
      <c r="U163" s="36"/>
      <c r="V163" s="12">
        <v>8000</v>
      </c>
    </row>
    <row r="164" spans="1:22" s="38" customFormat="1" ht="75">
      <c r="A164" s="100" t="s">
        <v>97</v>
      </c>
      <c r="B164" s="107" t="s">
        <v>178</v>
      </c>
      <c r="C164" s="33"/>
      <c r="D164" s="33"/>
      <c r="E164" s="71" t="s">
        <v>60</v>
      </c>
      <c r="F164" s="33"/>
      <c r="G164" s="12">
        <v>85000</v>
      </c>
      <c r="H164" s="36"/>
      <c r="I164" s="36"/>
      <c r="J164" s="36"/>
      <c r="K164" s="37"/>
      <c r="L164" s="36"/>
      <c r="M164" s="36"/>
      <c r="N164" s="36"/>
      <c r="O164" s="108">
        <v>38000</v>
      </c>
      <c r="P164" s="36"/>
      <c r="Q164" s="36"/>
      <c r="R164" s="36"/>
      <c r="S164" s="82">
        <v>15000</v>
      </c>
      <c r="T164" s="36"/>
      <c r="U164" s="36"/>
      <c r="V164" s="82">
        <v>15000</v>
      </c>
    </row>
    <row r="165" spans="1:22" s="38" customFormat="1" ht="15">
      <c r="A165" s="94" t="s">
        <v>179</v>
      </c>
      <c r="B165" s="76" t="s">
        <v>180</v>
      </c>
      <c r="C165" s="33"/>
      <c r="D165" s="33"/>
      <c r="E165" s="94"/>
      <c r="F165" s="33"/>
      <c r="G165" s="95">
        <f>SUM(G166:G166)</f>
        <v>120600</v>
      </c>
      <c r="H165" s="36"/>
      <c r="I165" s="36"/>
      <c r="J165" s="46"/>
      <c r="K165" s="37"/>
      <c r="L165" s="36"/>
      <c r="M165" s="36"/>
      <c r="N165" s="46"/>
      <c r="O165" s="95">
        <f>SUM(O166:O166)</f>
        <v>30800.57</v>
      </c>
      <c r="P165" s="36"/>
      <c r="Q165" s="36"/>
      <c r="R165" s="46"/>
      <c r="S165" s="95">
        <v>3000</v>
      </c>
      <c r="T165" s="36"/>
      <c r="U165" s="36"/>
      <c r="V165" s="95">
        <v>3000</v>
      </c>
    </row>
    <row r="166" spans="1:22" s="38" customFormat="1" ht="75">
      <c r="A166" s="109" t="s">
        <v>89</v>
      </c>
      <c r="B166" s="80" t="s">
        <v>79</v>
      </c>
      <c r="C166" s="33"/>
      <c r="D166" s="33"/>
      <c r="E166" s="67" t="s">
        <v>20</v>
      </c>
      <c r="F166" s="33"/>
      <c r="G166" s="82">
        <v>120600</v>
      </c>
      <c r="H166" s="36"/>
      <c r="I166" s="36"/>
      <c r="J166" s="46"/>
      <c r="K166" s="37"/>
      <c r="L166" s="36"/>
      <c r="M166" s="36"/>
      <c r="N166" s="46"/>
      <c r="O166" s="74">
        <v>30800.57</v>
      </c>
      <c r="P166" s="36"/>
      <c r="Q166" s="36"/>
      <c r="R166" s="46"/>
      <c r="S166" s="82">
        <v>3000</v>
      </c>
      <c r="T166" s="36"/>
      <c r="U166" s="36"/>
      <c r="V166" s="82">
        <v>3000</v>
      </c>
    </row>
    <row r="167" spans="1:22" s="38" customFormat="1" ht="45">
      <c r="A167" s="109"/>
      <c r="B167" s="105" t="s">
        <v>181</v>
      </c>
      <c r="C167" s="33"/>
      <c r="D167" s="33"/>
      <c r="E167" s="71"/>
      <c r="F167" s="33"/>
      <c r="G167" s="12"/>
      <c r="H167" s="36"/>
      <c r="I167" s="36"/>
      <c r="J167" s="46"/>
      <c r="K167" s="37"/>
      <c r="L167" s="36"/>
      <c r="M167" s="36"/>
      <c r="N167" s="46"/>
      <c r="O167" s="74">
        <v>25800.57</v>
      </c>
      <c r="P167" s="36"/>
      <c r="Q167" s="36"/>
      <c r="R167" s="46"/>
      <c r="S167" s="82"/>
      <c r="T167" s="36"/>
      <c r="U167" s="36"/>
      <c r="V167" s="82"/>
    </row>
    <row r="168" spans="1:22" s="38" customFormat="1" ht="30">
      <c r="A168" s="109"/>
      <c r="B168" s="105" t="s">
        <v>182</v>
      </c>
      <c r="C168" s="33"/>
      <c r="D168" s="33"/>
      <c r="E168" s="71"/>
      <c r="F168" s="33"/>
      <c r="G168" s="12"/>
      <c r="H168" s="36"/>
      <c r="I168" s="36"/>
      <c r="J168" s="56"/>
      <c r="K168" s="37"/>
      <c r="L168" s="36"/>
      <c r="M168" s="36"/>
      <c r="N168" s="46"/>
      <c r="O168" s="74">
        <v>5000</v>
      </c>
      <c r="P168" s="36"/>
      <c r="Q168" s="36"/>
      <c r="R168" s="46"/>
      <c r="S168" s="82">
        <v>0</v>
      </c>
      <c r="T168" s="36"/>
      <c r="U168" s="36"/>
      <c r="V168" s="82">
        <v>0</v>
      </c>
    </row>
    <row r="169" spans="1:22" s="38" customFormat="1" ht="30">
      <c r="A169" s="109"/>
      <c r="B169" s="105" t="s">
        <v>183</v>
      </c>
      <c r="C169" s="33"/>
      <c r="D169" s="33"/>
      <c r="E169" s="71"/>
      <c r="F169" s="33"/>
      <c r="G169" s="12"/>
      <c r="H169" s="36"/>
      <c r="I169" s="36"/>
      <c r="J169" s="36"/>
      <c r="K169" s="37"/>
      <c r="L169" s="36"/>
      <c r="M169" s="36"/>
      <c r="N169" s="36"/>
      <c r="O169" s="74"/>
      <c r="P169" s="36"/>
      <c r="Q169" s="36"/>
      <c r="R169" s="36"/>
      <c r="S169" s="82">
        <v>0</v>
      </c>
      <c r="T169" s="36"/>
      <c r="U169" s="36"/>
      <c r="V169" s="82">
        <v>0</v>
      </c>
    </row>
    <row r="170" spans="1:22" s="38" customFormat="1" ht="28.5">
      <c r="A170" s="94" t="s">
        <v>184</v>
      </c>
      <c r="B170" s="76" t="s">
        <v>185</v>
      </c>
      <c r="C170" s="33"/>
      <c r="D170" s="33"/>
      <c r="E170" s="67"/>
      <c r="F170" s="33"/>
      <c r="G170" s="110">
        <f>G171+G174+G178+G182+G186+G188+G190</f>
        <v>7300810.577</v>
      </c>
      <c r="H170" s="36"/>
      <c r="I170" s="36"/>
      <c r="J170" s="46"/>
      <c r="K170" s="37"/>
      <c r="L170" s="36"/>
      <c r="M170" s="36"/>
      <c r="N170" s="46"/>
      <c r="O170" s="110">
        <f>O171+O174+O178+O182+O186+O188+O190</f>
        <v>2765650</v>
      </c>
      <c r="P170" s="36"/>
      <c r="Q170" s="36"/>
      <c r="R170" s="46"/>
      <c r="S170" s="110">
        <v>114212.88</v>
      </c>
      <c r="T170" s="36"/>
      <c r="U170" s="36"/>
      <c r="V170" s="110">
        <v>114212.88</v>
      </c>
    </row>
    <row r="171" spans="1:22" s="38" customFormat="1" ht="15">
      <c r="A171" s="94" t="s">
        <v>186</v>
      </c>
      <c r="B171" s="111" t="s">
        <v>187</v>
      </c>
      <c r="C171" s="33"/>
      <c r="D171" s="33"/>
      <c r="E171" s="77"/>
      <c r="F171" s="33"/>
      <c r="G171" s="59">
        <f>SUM(G172:G173)</f>
        <v>6814545.318</v>
      </c>
      <c r="H171" s="36"/>
      <c r="I171" s="36"/>
      <c r="J171" s="46"/>
      <c r="K171" s="37"/>
      <c r="L171" s="36"/>
      <c r="M171" s="36"/>
      <c r="N171" s="46"/>
      <c r="O171" s="59">
        <f>SUM(O172:O173)</f>
        <v>2432700</v>
      </c>
      <c r="P171" s="36"/>
      <c r="Q171" s="36"/>
      <c r="R171" s="46"/>
      <c r="S171" s="59">
        <v>44931</v>
      </c>
      <c r="T171" s="36"/>
      <c r="U171" s="36"/>
      <c r="V171" s="59">
        <v>44931</v>
      </c>
    </row>
    <row r="172" spans="1:22" s="38" customFormat="1" ht="45">
      <c r="A172" s="100" t="s">
        <v>89</v>
      </c>
      <c r="B172" s="112" t="s">
        <v>188</v>
      </c>
      <c r="C172" s="33"/>
      <c r="D172" s="33"/>
      <c r="E172" s="73" t="s">
        <v>20</v>
      </c>
      <c r="F172" s="33"/>
      <c r="G172" s="87">
        <f>6800000</f>
        <v>6800000</v>
      </c>
      <c r="H172" s="36"/>
      <c r="I172" s="36"/>
      <c r="J172" s="46"/>
      <c r="K172" s="37"/>
      <c r="L172" s="36"/>
      <c r="M172" s="36"/>
      <c r="N172" s="46"/>
      <c r="O172" s="74">
        <v>2430000</v>
      </c>
      <c r="P172" s="36"/>
      <c r="Q172" s="36"/>
      <c r="R172" s="46"/>
      <c r="S172" s="88">
        <v>40000</v>
      </c>
      <c r="T172" s="36"/>
      <c r="U172" s="36"/>
      <c r="V172" s="88">
        <v>40000</v>
      </c>
    </row>
    <row r="173" spans="1:22" s="38" customFormat="1" ht="75">
      <c r="A173" s="100" t="s">
        <v>91</v>
      </c>
      <c r="B173" s="66" t="s">
        <v>189</v>
      </c>
      <c r="C173" s="33"/>
      <c r="D173" s="33"/>
      <c r="E173" s="71"/>
      <c r="F173" s="33"/>
      <c r="G173" s="81">
        <f>4300+8509.093+190.604+657.694+195.293+692.634</f>
        <v>14545.318</v>
      </c>
      <c r="H173" s="36"/>
      <c r="I173" s="36"/>
      <c r="J173" s="46"/>
      <c r="K173" s="37"/>
      <c r="L173" s="36"/>
      <c r="M173" s="36"/>
      <c r="N173" s="46"/>
      <c r="O173" s="74">
        <v>2700</v>
      </c>
      <c r="P173" s="36"/>
      <c r="Q173" s="36"/>
      <c r="R173" s="46"/>
      <c r="S173" s="88">
        <v>4931</v>
      </c>
      <c r="T173" s="36"/>
      <c r="U173" s="36"/>
      <c r="V173" s="88">
        <v>4931</v>
      </c>
    </row>
    <row r="174" spans="1:22" s="38" customFormat="1" ht="15">
      <c r="A174" s="94" t="s">
        <v>190</v>
      </c>
      <c r="B174" s="111" t="s">
        <v>169</v>
      </c>
      <c r="C174" s="33"/>
      <c r="D174" s="33"/>
      <c r="E174" s="71"/>
      <c r="F174" s="33"/>
      <c r="G174" s="113">
        <f>SUM(G175:G177)</f>
        <v>194685.259</v>
      </c>
      <c r="H174" s="36"/>
      <c r="I174" s="36"/>
      <c r="J174" s="36"/>
      <c r="K174" s="37"/>
      <c r="L174" s="36"/>
      <c r="M174" s="36"/>
      <c r="N174" s="36"/>
      <c r="O174" s="113">
        <f>SUM(O175:O177)</f>
        <v>110100</v>
      </c>
      <c r="P174" s="36"/>
      <c r="Q174" s="36"/>
      <c r="R174" s="36"/>
      <c r="S174" s="113">
        <v>29000</v>
      </c>
      <c r="T174" s="36"/>
      <c r="U174" s="36"/>
      <c r="V174" s="113">
        <v>29000</v>
      </c>
    </row>
    <row r="175" spans="1:22" s="38" customFormat="1" ht="30">
      <c r="A175" s="100" t="s">
        <v>89</v>
      </c>
      <c r="B175" s="114" t="s">
        <v>191</v>
      </c>
      <c r="C175" s="33"/>
      <c r="D175" s="33"/>
      <c r="E175" s="71" t="s">
        <v>77</v>
      </c>
      <c r="F175" s="33"/>
      <c r="G175" s="87">
        <v>38000</v>
      </c>
      <c r="H175" s="36"/>
      <c r="I175" s="36"/>
      <c r="J175" s="46"/>
      <c r="K175" s="37"/>
      <c r="L175" s="36"/>
      <c r="M175" s="36"/>
      <c r="N175" s="46"/>
      <c r="O175" s="74">
        <v>10000</v>
      </c>
      <c r="P175" s="36"/>
      <c r="Q175" s="36"/>
      <c r="R175" s="46"/>
      <c r="S175" s="88">
        <v>10000</v>
      </c>
      <c r="T175" s="36"/>
      <c r="U175" s="36"/>
      <c r="V175" s="88">
        <v>10000</v>
      </c>
    </row>
    <row r="176" spans="1:22" s="38" customFormat="1" ht="165">
      <c r="A176" s="100" t="s">
        <v>91</v>
      </c>
      <c r="B176" s="115" t="s">
        <v>558</v>
      </c>
      <c r="C176" s="33"/>
      <c r="D176" s="33"/>
      <c r="E176" s="71" t="s">
        <v>65</v>
      </c>
      <c r="F176" s="33"/>
      <c r="G176" s="12">
        <v>44980</v>
      </c>
      <c r="H176" s="36"/>
      <c r="I176" s="36"/>
      <c r="J176" s="36"/>
      <c r="K176" s="37"/>
      <c r="L176" s="36"/>
      <c r="M176" s="36"/>
      <c r="N176" s="36"/>
      <c r="O176" s="74">
        <v>20100</v>
      </c>
      <c r="P176" s="36"/>
      <c r="Q176" s="36"/>
      <c r="R176" s="36"/>
      <c r="S176" s="88">
        <v>19000</v>
      </c>
      <c r="T176" s="36"/>
      <c r="U176" s="36"/>
      <c r="V176" s="88">
        <v>19000</v>
      </c>
    </row>
    <row r="177" spans="1:22" s="38" customFormat="1" ht="45">
      <c r="A177" s="100" t="s">
        <v>93</v>
      </c>
      <c r="B177" s="112" t="s">
        <v>192</v>
      </c>
      <c r="C177" s="33"/>
      <c r="D177" s="33"/>
      <c r="E177" s="97" t="s">
        <v>519</v>
      </c>
      <c r="F177" s="33"/>
      <c r="G177" s="91">
        <v>111705.25899999999</v>
      </c>
      <c r="H177" s="36"/>
      <c r="I177" s="36"/>
      <c r="J177" s="36"/>
      <c r="K177" s="37"/>
      <c r="L177" s="36"/>
      <c r="M177" s="36"/>
      <c r="N177" s="36"/>
      <c r="O177" s="12">
        <v>80000</v>
      </c>
      <c r="P177" s="36"/>
      <c r="Q177" s="36"/>
      <c r="R177" s="36"/>
      <c r="S177" s="88"/>
      <c r="T177" s="36"/>
      <c r="U177" s="36"/>
      <c r="V177" s="88"/>
    </row>
    <row r="178" spans="1:22" s="38" customFormat="1" ht="15">
      <c r="A178" s="94" t="s">
        <v>193</v>
      </c>
      <c r="B178" s="111" t="s">
        <v>171</v>
      </c>
      <c r="C178" s="33"/>
      <c r="D178" s="33"/>
      <c r="E178" s="77"/>
      <c r="F178" s="33"/>
      <c r="G178" s="59">
        <f>SUM(G179:G179)</f>
        <v>18000</v>
      </c>
      <c r="H178" s="36"/>
      <c r="I178" s="36"/>
      <c r="J178" s="46"/>
      <c r="K178" s="37"/>
      <c r="L178" s="36"/>
      <c r="M178" s="36"/>
      <c r="N178" s="46"/>
      <c r="O178" s="59">
        <f>SUM(O179:O179)</f>
        <v>6750</v>
      </c>
      <c r="P178" s="36"/>
      <c r="Q178" s="36"/>
      <c r="R178" s="46"/>
      <c r="S178" s="59">
        <v>5000</v>
      </c>
      <c r="T178" s="36"/>
      <c r="U178" s="36"/>
      <c r="V178" s="59">
        <v>5000</v>
      </c>
    </row>
    <row r="179" spans="1:22" s="38" customFormat="1" ht="30">
      <c r="A179" s="103" t="s">
        <v>89</v>
      </c>
      <c r="B179" s="80" t="s">
        <v>53</v>
      </c>
      <c r="C179" s="33"/>
      <c r="D179" s="33"/>
      <c r="E179" s="71" t="s">
        <v>19</v>
      </c>
      <c r="F179" s="33"/>
      <c r="G179" s="81">
        <f>14354.92+578.8+356.942+1343.861+265.388+1100.089</f>
        <v>18000</v>
      </c>
      <c r="H179" s="36"/>
      <c r="I179" s="36"/>
      <c r="J179" s="46"/>
      <c r="K179" s="37"/>
      <c r="L179" s="36"/>
      <c r="M179" s="36"/>
      <c r="N179" s="46"/>
      <c r="O179" s="74">
        <v>6750</v>
      </c>
      <c r="P179" s="36"/>
      <c r="Q179" s="36"/>
      <c r="R179" s="46"/>
      <c r="S179" s="88">
        <v>5000</v>
      </c>
      <c r="T179" s="36"/>
      <c r="U179" s="36"/>
      <c r="V179" s="88">
        <v>5000</v>
      </c>
    </row>
    <row r="180" spans="1:22" s="38" customFormat="1" ht="30">
      <c r="A180" s="103" t="s">
        <v>91</v>
      </c>
      <c r="B180" s="80" t="s">
        <v>194</v>
      </c>
      <c r="C180" s="33"/>
      <c r="D180" s="33"/>
      <c r="E180" s="67" t="s">
        <v>20</v>
      </c>
      <c r="F180" s="33"/>
      <c r="G180" s="12">
        <f>10500+87963.996+1038.305+1452.125+6446.321+1565.043+326.861</f>
        <v>109292.651</v>
      </c>
      <c r="H180" s="36"/>
      <c r="I180" s="36"/>
      <c r="J180" s="46"/>
      <c r="K180" s="37"/>
      <c r="L180" s="36"/>
      <c r="M180" s="36"/>
      <c r="N180" s="46"/>
      <c r="O180" s="74"/>
      <c r="P180" s="36"/>
      <c r="Q180" s="36"/>
      <c r="R180" s="46"/>
      <c r="S180" s="88">
        <v>0</v>
      </c>
      <c r="T180" s="36"/>
      <c r="U180" s="36"/>
      <c r="V180" s="88">
        <v>0</v>
      </c>
    </row>
    <row r="181" spans="1:22" s="38" customFormat="1" ht="45">
      <c r="A181" s="103" t="s">
        <v>93</v>
      </c>
      <c r="B181" s="105" t="s">
        <v>195</v>
      </c>
      <c r="C181" s="33"/>
      <c r="D181" s="33"/>
      <c r="E181" s="71" t="s">
        <v>77</v>
      </c>
      <c r="F181" s="33"/>
      <c r="G181" s="81">
        <v>18000</v>
      </c>
      <c r="H181" s="36"/>
      <c r="I181" s="36"/>
      <c r="J181" s="36"/>
      <c r="K181" s="37"/>
      <c r="L181" s="36"/>
      <c r="M181" s="36"/>
      <c r="N181" s="36"/>
      <c r="O181" s="74">
        <v>8050</v>
      </c>
      <c r="P181" s="36"/>
      <c r="Q181" s="36"/>
      <c r="R181" s="36"/>
      <c r="S181" s="88">
        <v>0</v>
      </c>
      <c r="T181" s="36"/>
      <c r="U181" s="36"/>
      <c r="V181" s="88">
        <v>0</v>
      </c>
    </row>
    <row r="182" spans="1:22" s="38" customFormat="1" ht="15">
      <c r="A182" s="94" t="s">
        <v>196</v>
      </c>
      <c r="B182" s="111" t="s">
        <v>197</v>
      </c>
      <c r="C182" s="33"/>
      <c r="D182" s="33"/>
      <c r="E182" s="67"/>
      <c r="F182" s="33"/>
      <c r="G182" s="113">
        <f>SUM(G183:G185)</f>
        <v>236300</v>
      </c>
      <c r="H182" s="36"/>
      <c r="I182" s="36"/>
      <c r="J182" s="46"/>
      <c r="K182" s="37"/>
      <c r="L182" s="36"/>
      <c r="M182" s="36"/>
      <c r="N182" s="56"/>
      <c r="O182" s="113">
        <f>SUM(O183:O185)</f>
        <v>181700</v>
      </c>
      <c r="P182" s="36"/>
      <c r="Q182" s="36"/>
      <c r="R182" s="36"/>
      <c r="S182" s="113">
        <v>8000</v>
      </c>
      <c r="T182" s="36"/>
      <c r="U182" s="36"/>
      <c r="V182" s="113">
        <v>8000</v>
      </c>
    </row>
    <row r="183" spans="1:22" s="38" customFormat="1" ht="45">
      <c r="A183" s="100" t="s">
        <v>89</v>
      </c>
      <c r="B183" s="116" t="s">
        <v>48</v>
      </c>
      <c r="C183" s="33"/>
      <c r="D183" s="33"/>
      <c r="E183" s="67" t="s">
        <v>77</v>
      </c>
      <c r="F183" s="33"/>
      <c r="G183" s="81">
        <v>18000</v>
      </c>
      <c r="H183" s="36"/>
      <c r="I183" s="36"/>
      <c r="J183" s="46"/>
      <c r="K183" s="37"/>
      <c r="L183" s="36"/>
      <c r="M183" s="36"/>
      <c r="N183" s="56"/>
      <c r="O183" s="74">
        <v>4200</v>
      </c>
      <c r="P183" s="36"/>
      <c r="Q183" s="36"/>
      <c r="R183" s="56"/>
      <c r="S183" s="88">
        <v>8000</v>
      </c>
      <c r="T183" s="36"/>
      <c r="U183" s="36"/>
      <c r="V183" s="88">
        <v>8000</v>
      </c>
    </row>
    <row r="184" spans="1:22" s="38" customFormat="1" ht="45">
      <c r="A184" s="100" t="s">
        <v>91</v>
      </c>
      <c r="B184" s="116" t="s">
        <v>198</v>
      </c>
      <c r="C184" s="33"/>
      <c r="D184" s="33"/>
      <c r="E184" s="67" t="s">
        <v>19</v>
      </c>
      <c r="F184" s="33"/>
      <c r="G184" s="81">
        <v>208000</v>
      </c>
      <c r="H184" s="36"/>
      <c r="I184" s="36"/>
      <c r="J184" s="46"/>
      <c r="K184" s="37"/>
      <c r="L184" s="36"/>
      <c r="M184" s="36"/>
      <c r="N184" s="46"/>
      <c r="O184" s="74">
        <v>170000</v>
      </c>
      <c r="P184" s="36"/>
      <c r="Q184" s="36"/>
      <c r="R184" s="46"/>
      <c r="S184" s="88">
        <v>0</v>
      </c>
      <c r="T184" s="36"/>
      <c r="U184" s="36"/>
      <c r="V184" s="88">
        <v>0</v>
      </c>
    </row>
    <row r="185" spans="1:22" s="38" customFormat="1" ht="45">
      <c r="A185" s="100" t="s">
        <v>93</v>
      </c>
      <c r="B185" s="114" t="s">
        <v>199</v>
      </c>
      <c r="C185" s="33"/>
      <c r="D185" s="33"/>
      <c r="E185" s="71" t="s">
        <v>77</v>
      </c>
      <c r="F185" s="33"/>
      <c r="G185" s="87">
        <v>10300</v>
      </c>
      <c r="H185" s="36"/>
      <c r="I185" s="36"/>
      <c r="J185" s="36"/>
      <c r="K185" s="36"/>
      <c r="L185" s="36"/>
      <c r="M185" s="36"/>
      <c r="N185" s="36"/>
      <c r="O185" s="74">
        <v>7500</v>
      </c>
      <c r="P185" s="36"/>
      <c r="Q185" s="36"/>
      <c r="R185" s="36"/>
      <c r="S185" s="88">
        <v>0</v>
      </c>
      <c r="T185" s="36"/>
      <c r="U185" s="36"/>
      <c r="V185" s="88">
        <v>0</v>
      </c>
    </row>
    <row r="186" spans="1:22" s="38" customFormat="1" ht="15">
      <c r="A186" s="94" t="s">
        <v>200</v>
      </c>
      <c r="B186" s="111" t="s">
        <v>180</v>
      </c>
      <c r="C186" s="33"/>
      <c r="D186" s="33"/>
      <c r="E186" s="117"/>
      <c r="F186" s="33"/>
      <c r="G186" s="59">
        <f>SUM(G187:G187)</f>
        <v>37280</v>
      </c>
      <c r="H186" s="36"/>
      <c r="I186" s="36"/>
      <c r="J186" s="36"/>
      <c r="K186" s="37"/>
      <c r="L186" s="36"/>
      <c r="M186" s="36"/>
      <c r="N186" s="46"/>
      <c r="O186" s="59">
        <f>SUM(O187:O187)</f>
        <v>5000</v>
      </c>
      <c r="P186" s="36"/>
      <c r="Q186" s="36"/>
      <c r="R186" s="46"/>
      <c r="S186" s="59">
        <v>0</v>
      </c>
      <c r="T186" s="36"/>
      <c r="U186" s="36"/>
      <c r="V186" s="59">
        <v>0</v>
      </c>
    </row>
    <row r="187" spans="1:22" s="38" customFormat="1" ht="45">
      <c r="A187" s="100" t="s">
        <v>89</v>
      </c>
      <c r="B187" s="114" t="s">
        <v>201</v>
      </c>
      <c r="C187" s="33"/>
      <c r="D187" s="33"/>
      <c r="E187" s="71" t="s">
        <v>520</v>
      </c>
      <c r="F187" s="33"/>
      <c r="G187" s="118">
        <v>37280</v>
      </c>
      <c r="H187" s="36"/>
      <c r="I187" s="36"/>
      <c r="J187" s="36"/>
      <c r="K187" s="37"/>
      <c r="L187" s="36"/>
      <c r="M187" s="36"/>
      <c r="N187" s="36"/>
      <c r="O187" s="74">
        <v>5000</v>
      </c>
      <c r="P187" s="36"/>
      <c r="Q187" s="36"/>
      <c r="R187" s="36"/>
      <c r="S187" s="88">
        <v>0</v>
      </c>
      <c r="T187" s="36"/>
      <c r="U187" s="36"/>
      <c r="V187" s="88">
        <v>0</v>
      </c>
    </row>
    <row r="188" spans="1:22" s="38" customFormat="1" ht="15">
      <c r="A188" s="94" t="s">
        <v>202</v>
      </c>
      <c r="B188" s="119" t="s">
        <v>203</v>
      </c>
      <c r="C188" s="33"/>
      <c r="D188" s="33"/>
      <c r="E188" s="117"/>
      <c r="F188" s="33"/>
      <c r="G188" s="78"/>
      <c r="H188" s="36"/>
      <c r="I188" s="36"/>
      <c r="J188" s="36"/>
      <c r="K188" s="37"/>
      <c r="L188" s="36"/>
      <c r="M188" s="36"/>
      <c r="N188" s="36"/>
      <c r="O188" s="78">
        <f>O189</f>
        <v>0</v>
      </c>
      <c r="P188" s="36"/>
      <c r="Q188" s="36"/>
      <c r="R188" s="36"/>
      <c r="S188" s="78">
        <v>10000</v>
      </c>
      <c r="T188" s="36"/>
      <c r="U188" s="36"/>
      <c r="V188" s="78">
        <v>10000</v>
      </c>
    </row>
    <row r="189" spans="1:22" s="38" customFormat="1" ht="45">
      <c r="A189" s="100" t="s">
        <v>89</v>
      </c>
      <c r="B189" s="66" t="s">
        <v>204</v>
      </c>
      <c r="C189" s="33"/>
      <c r="D189" s="33"/>
      <c r="E189" s="71" t="s">
        <v>520</v>
      </c>
      <c r="F189" s="33"/>
      <c r="G189" s="81">
        <v>44500</v>
      </c>
      <c r="H189" s="36"/>
      <c r="I189" s="36"/>
      <c r="J189" s="36"/>
      <c r="K189" s="37"/>
      <c r="L189" s="36"/>
      <c r="M189" s="36"/>
      <c r="N189" s="36"/>
      <c r="O189" s="74"/>
      <c r="P189" s="36"/>
      <c r="Q189" s="36"/>
      <c r="R189" s="36"/>
      <c r="S189" s="88">
        <v>10000</v>
      </c>
      <c r="T189" s="36"/>
      <c r="U189" s="36"/>
      <c r="V189" s="88">
        <v>10000</v>
      </c>
    </row>
    <row r="190" spans="1:22" s="38" customFormat="1" ht="15">
      <c r="A190" s="94" t="s">
        <v>205</v>
      </c>
      <c r="B190" s="120" t="s">
        <v>206</v>
      </c>
      <c r="C190" s="33"/>
      <c r="D190" s="33"/>
      <c r="E190" s="117"/>
      <c r="F190" s="33"/>
      <c r="G190" s="78"/>
      <c r="H190" s="36"/>
      <c r="I190" s="36"/>
      <c r="J190" s="36"/>
      <c r="K190" s="37"/>
      <c r="L190" s="36"/>
      <c r="M190" s="36"/>
      <c r="N190" s="46"/>
      <c r="O190" s="59">
        <f>O191+O211</f>
        <v>29400</v>
      </c>
      <c r="P190" s="36"/>
      <c r="Q190" s="36"/>
      <c r="R190" s="46"/>
      <c r="S190" s="59">
        <v>17281.88</v>
      </c>
      <c r="T190" s="36"/>
      <c r="U190" s="36"/>
      <c r="V190" s="59">
        <v>17281.88</v>
      </c>
    </row>
    <row r="191" spans="1:22" s="38" customFormat="1" ht="28.5">
      <c r="A191" s="40" t="s">
        <v>89</v>
      </c>
      <c r="B191" s="120" t="s">
        <v>70</v>
      </c>
      <c r="C191" s="33"/>
      <c r="D191" s="33"/>
      <c r="E191" s="117"/>
      <c r="F191" s="33"/>
      <c r="G191" s="95">
        <f>G192+G201+G207</f>
        <v>34306.494</v>
      </c>
      <c r="H191" s="36"/>
      <c r="I191" s="36"/>
      <c r="J191" s="36"/>
      <c r="K191" s="36"/>
      <c r="L191" s="36"/>
      <c r="M191" s="36"/>
      <c r="N191" s="36"/>
      <c r="O191" s="95">
        <f>O192+O201+O207</f>
        <v>19400</v>
      </c>
      <c r="P191" s="36"/>
      <c r="Q191" s="36"/>
      <c r="R191" s="36"/>
      <c r="S191" s="95">
        <v>5261.25</v>
      </c>
      <c r="T191" s="36"/>
      <c r="U191" s="36"/>
      <c r="V191" s="95">
        <v>5261.25</v>
      </c>
    </row>
    <row r="192" spans="1:22" s="38" customFormat="1" ht="30">
      <c r="A192" s="121" t="s">
        <v>207</v>
      </c>
      <c r="B192" s="122" t="s">
        <v>208</v>
      </c>
      <c r="C192" s="33"/>
      <c r="D192" s="33"/>
      <c r="E192" s="123"/>
      <c r="F192" s="124"/>
      <c r="G192" s="125">
        <f>SUM(G194:G200)</f>
        <v>15755.214</v>
      </c>
      <c r="H192" s="36"/>
      <c r="I192" s="36"/>
      <c r="J192" s="36"/>
      <c r="K192" s="37"/>
      <c r="L192" s="36"/>
      <c r="M192" s="36"/>
      <c r="N192" s="36"/>
      <c r="O192" s="125">
        <f>SUM(O194:O200)</f>
        <v>14400</v>
      </c>
      <c r="P192" s="36"/>
      <c r="Q192" s="36"/>
      <c r="R192" s="36"/>
      <c r="S192" s="125">
        <v>1261.25</v>
      </c>
      <c r="T192" s="36"/>
      <c r="U192" s="36"/>
      <c r="V192" s="125">
        <v>1261.25</v>
      </c>
    </row>
    <row r="193" spans="1:22" s="38" customFormat="1" ht="30">
      <c r="A193" s="79" t="s">
        <v>209</v>
      </c>
      <c r="B193" s="80" t="s">
        <v>210</v>
      </c>
      <c r="C193" s="33"/>
      <c r="D193" s="33"/>
      <c r="E193" s="67" t="s">
        <v>64</v>
      </c>
      <c r="F193" s="33"/>
      <c r="G193" s="81">
        <v>2300.82</v>
      </c>
      <c r="H193" s="36"/>
      <c r="I193" s="36"/>
      <c r="J193" s="46"/>
      <c r="K193" s="37"/>
      <c r="L193" s="36"/>
      <c r="M193" s="36"/>
      <c r="N193" s="46"/>
      <c r="O193" s="126">
        <v>2100</v>
      </c>
      <c r="P193" s="36"/>
      <c r="Q193" s="36"/>
      <c r="R193" s="46"/>
      <c r="S193" s="82">
        <v>0</v>
      </c>
      <c r="T193" s="36"/>
      <c r="U193" s="36"/>
      <c r="V193" s="82">
        <v>0</v>
      </c>
    </row>
    <row r="194" spans="1:22" s="38" customFormat="1" ht="30">
      <c r="A194" s="79" t="s">
        <v>211</v>
      </c>
      <c r="B194" s="80" t="s">
        <v>212</v>
      </c>
      <c r="C194" s="33"/>
      <c r="D194" s="33"/>
      <c r="E194" s="67" t="s">
        <v>64</v>
      </c>
      <c r="F194" s="33"/>
      <c r="G194" s="81">
        <v>1950.294</v>
      </c>
      <c r="H194" s="36"/>
      <c r="I194" s="36"/>
      <c r="J194" s="36"/>
      <c r="K194" s="37"/>
      <c r="L194" s="36"/>
      <c r="M194" s="36"/>
      <c r="N194" s="36"/>
      <c r="O194" s="126">
        <v>1800</v>
      </c>
      <c r="P194" s="36"/>
      <c r="Q194" s="36"/>
      <c r="R194" s="36"/>
      <c r="S194" s="82">
        <v>140.83</v>
      </c>
      <c r="T194" s="36"/>
      <c r="U194" s="36"/>
      <c r="V194" s="82">
        <v>140.83</v>
      </c>
    </row>
    <row r="195" spans="1:22" s="38" customFormat="1" ht="30">
      <c r="A195" s="79" t="s">
        <v>213</v>
      </c>
      <c r="B195" s="80" t="s">
        <v>214</v>
      </c>
      <c r="C195" s="33"/>
      <c r="D195" s="33"/>
      <c r="E195" s="67" t="s">
        <v>64</v>
      </c>
      <c r="F195" s="33"/>
      <c r="G195" s="81">
        <v>2300.82</v>
      </c>
      <c r="H195" s="36"/>
      <c r="I195" s="36"/>
      <c r="J195" s="46"/>
      <c r="K195" s="37"/>
      <c r="L195" s="36"/>
      <c r="M195" s="36"/>
      <c r="N195" s="46"/>
      <c r="O195" s="126">
        <v>2100</v>
      </c>
      <c r="P195" s="36"/>
      <c r="Q195" s="36"/>
      <c r="R195" s="46"/>
      <c r="S195" s="82">
        <v>178.52</v>
      </c>
      <c r="T195" s="36"/>
      <c r="U195" s="36"/>
      <c r="V195" s="82">
        <v>178.52</v>
      </c>
    </row>
    <row r="196" spans="1:22" s="38" customFormat="1" ht="30">
      <c r="A196" s="79" t="s">
        <v>215</v>
      </c>
      <c r="B196" s="80" t="s">
        <v>216</v>
      </c>
      <c r="C196" s="33"/>
      <c r="D196" s="33"/>
      <c r="E196" s="67" t="s">
        <v>64</v>
      </c>
      <c r="F196" s="33"/>
      <c r="G196" s="81">
        <v>2300.82</v>
      </c>
      <c r="H196" s="36"/>
      <c r="I196" s="36"/>
      <c r="J196" s="46"/>
      <c r="K196" s="37"/>
      <c r="L196" s="36"/>
      <c r="M196" s="36"/>
      <c r="N196" s="46"/>
      <c r="O196" s="126">
        <v>2100</v>
      </c>
      <c r="P196" s="36"/>
      <c r="Q196" s="36"/>
      <c r="R196" s="46"/>
      <c r="S196" s="82">
        <v>192.52</v>
      </c>
      <c r="T196" s="36"/>
      <c r="U196" s="36"/>
      <c r="V196" s="82">
        <v>192.52</v>
      </c>
    </row>
    <row r="197" spans="1:22" s="38" customFormat="1" ht="30">
      <c r="A197" s="79" t="s">
        <v>217</v>
      </c>
      <c r="B197" s="80" t="s">
        <v>218</v>
      </c>
      <c r="C197" s="33"/>
      <c r="D197" s="33"/>
      <c r="E197" s="67" t="s">
        <v>64</v>
      </c>
      <c r="F197" s="33"/>
      <c r="G197" s="81">
        <v>2300.82</v>
      </c>
      <c r="H197" s="36"/>
      <c r="I197" s="36"/>
      <c r="J197" s="46"/>
      <c r="K197" s="37"/>
      <c r="L197" s="36"/>
      <c r="M197" s="36"/>
      <c r="N197" s="46"/>
      <c r="O197" s="126">
        <v>2100</v>
      </c>
      <c r="P197" s="36"/>
      <c r="Q197" s="36"/>
      <c r="R197" s="46"/>
      <c r="S197" s="82">
        <v>189.52</v>
      </c>
      <c r="T197" s="36"/>
      <c r="U197" s="36"/>
      <c r="V197" s="82">
        <v>189.52</v>
      </c>
    </row>
    <row r="198" spans="1:22" s="38" customFormat="1" ht="30">
      <c r="A198" s="79" t="s">
        <v>219</v>
      </c>
      <c r="B198" s="80" t="s">
        <v>220</v>
      </c>
      <c r="C198" s="33"/>
      <c r="D198" s="33"/>
      <c r="E198" s="67" t="s">
        <v>64</v>
      </c>
      <c r="F198" s="33"/>
      <c r="G198" s="81">
        <v>2300.82</v>
      </c>
      <c r="H198" s="37"/>
      <c r="I198" s="37"/>
      <c r="J198" s="37"/>
      <c r="K198" s="37"/>
      <c r="L198" s="37"/>
      <c r="M198" s="37"/>
      <c r="N198" s="37"/>
      <c r="O198" s="126">
        <v>2100</v>
      </c>
      <c r="P198" s="37"/>
      <c r="Q198" s="37"/>
      <c r="R198" s="37"/>
      <c r="S198" s="82">
        <v>192.52</v>
      </c>
      <c r="T198" s="36"/>
      <c r="U198" s="36"/>
      <c r="V198" s="82">
        <v>192.52</v>
      </c>
    </row>
    <row r="199" spans="1:22" s="38" customFormat="1" ht="30">
      <c r="A199" s="79" t="s">
        <v>221</v>
      </c>
      <c r="B199" s="80" t="s">
        <v>222</v>
      </c>
      <c r="C199" s="33"/>
      <c r="D199" s="33"/>
      <c r="E199" s="67" t="s">
        <v>64</v>
      </c>
      <c r="F199" s="33"/>
      <c r="G199" s="81">
        <v>2300.82</v>
      </c>
      <c r="H199" s="36"/>
      <c r="I199" s="36"/>
      <c r="J199" s="46"/>
      <c r="K199" s="37"/>
      <c r="L199" s="36"/>
      <c r="M199" s="36"/>
      <c r="N199" s="46"/>
      <c r="O199" s="126">
        <v>2100</v>
      </c>
      <c r="P199" s="36"/>
      <c r="Q199" s="36"/>
      <c r="R199" s="46"/>
      <c r="S199" s="82">
        <v>188.82</v>
      </c>
      <c r="T199" s="36"/>
      <c r="U199" s="36"/>
      <c r="V199" s="82">
        <v>188.82</v>
      </c>
    </row>
    <row r="200" spans="1:22" s="38" customFormat="1" ht="30">
      <c r="A200" s="79" t="s">
        <v>223</v>
      </c>
      <c r="B200" s="80" t="s">
        <v>224</v>
      </c>
      <c r="C200" s="33"/>
      <c r="D200" s="33"/>
      <c r="E200" s="67" t="s">
        <v>64</v>
      </c>
      <c r="F200" s="33"/>
      <c r="G200" s="81">
        <v>2300.82</v>
      </c>
      <c r="H200" s="36"/>
      <c r="I200" s="36"/>
      <c r="J200" s="46"/>
      <c r="K200" s="37"/>
      <c r="L200" s="36"/>
      <c r="M200" s="36"/>
      <c r="N200" s="46"/>
      <c r="O200" s="126">
        <v>2100</v>
      </c>
      <c r="P200" s="36"/>
      <c r="Q200" s="36"/>
      <c r="R200" s="46"/>
      <c r="S200" s="82">
        <v>178.52</v>
      </c>
      <c r="T200" s="36"/>
      <c r="U200" s="36"/>
      <c r="V200" s="82">
        <v>178.52</v>
      </c>
    </row>
    <row r="201" spans="1:22" s="38" customFormat="1" ht="30">
      <c r="A201" s="121" t="s">
        <v>225</v>
      </c>
      <c r="B201" s="122" t="s">
        <v>226</v>
      </c>
      <c r="C201" s="23"/>
      <c r="D201" s="33"/>
      <c r="E201" s="123"/>
      <c r="F201" s="33"/>
      <c r="G201" s="127">
        <f>SUM(G202:G206)</f>
        <v>11651.279999999999</v>
      </c>
      <c r="H201" s="36"/>
      <c r="I201" s="36"/>
      <c r="J201" s="128"/>
      <c r="K201" s="37"/>
      <c r="L201" s="36"/>
      <c r="M201" s="36"/>
      <c r="N201" s="36"/>
      <c r="O201" s="127">
        <f>SUM(O202:O206)</f>
        <v>5000</v>
      </c>
      <c r="P201" s="36"/>
      <c r="Q201" s="36"/>
      <c r="R201" s="36"/>
      <c r="S201" s="127">
        <v>2500</v>
      </c>
      <c r="T201" s="36"/>
      <c r="U201" s="36"/>
      <c r="V201" s="127">
        <v>2500</v>
      </c>
    </row>
    <row r="202" spans="1:22" ht="30">
      <c r="A202" s="79" t="s">
        <v>209</v>
      </c>
      <c r="B202" s="105" t="s">
        <v>227</v>
      </c>
      <c r="C202" s="13"/>
      <c r="D202" s="13"/>
      <c r="E202" s="71" t="s">
        <v>77</v>
      </c>
      <c r="F202" s="13"/>
      <c r="G202" s="81">
        <v>2389.36</v>
      </c>
      <c r="H202" s="13"/>
      <c r="I202" s="13"/>
      <c r="J202" s="13"/>
      <c r="K202" s="13"/>
      <c r="L202" s="13"/>
      <c r="M202" s="13"/>
      <c r="N202" s="13"/>
      <c r="O202" s="129">
        <v>1000</v>
      </c>
      <c r="P202" s="13"/>
      <c r="Q202" s="13"/>
      <c r="R202" s="13"/>
      <c r="S202" s="82">
        <v>500</v>
      </c>
      <c r="T202" s="13"/>
      <c r="U202" s="13"/>
      <c r="V202" s="82">
        <v>500</v>
      </c>
    </row>
    <row r="203" spans="1:22" ht="30">
      <c r="A203" s="79" t="s">
        <v>211</v>
      </c>
      <c r="B203" s="105" t="s">
        <v>228</v>
      </c>
      <c r="C203" s="13"/>
      <c r="D203" s="13"/>
      <c r="E203" s="71" t="s">
        <v>77</v>
      </c>
      <c r="F203" s="13"/>
      <c r="G203" s="81">
        <v>2315.48</v>
      </c>
      <c r="H203" s="13"/>
      <c r="I203" s="13"/>
      <c r="J203" s="13"/>
      <c r="K203" s="13"/>
      <c r="L203" s="13"/>
      <c r="M203" s="13"/>
      <c r="N203" s="13"/>
      <c r="O203" s="129">
        <v>1000</v>
      </c>
      <c r="P203" s="13"/>
      <c r="Q203" s="13"/>
      <c r="R203" s="13"/>
      <c r="S203" s="88">
        <v>500</v>
      </c>
      <c r="T203" s="13"/>
      <c r="U203" s="13"/>
      <c r="V203" s="88">
        <v>500</v>
      </c>
    </row>
    <row r="204" spans="1:22" ht="30">
      <c r="A204" s="79" t="s">
        <v>213</v>
      </c>
      <c r="B204" s="105" t="s">
        <v>229</v>
      </c>
      <c r="C204" s="13"/>
      <c r="D204" s="13"/>
      <c r="E204" s="71" t="s">
        <v>77</v>
      </c>
      <c r="F204" s="13"/>
      <c r="G204" s="81">
        <v>2315.48</v>
      </c>
      <c r="H204" s="13"/>
      <c r="I204" s="13"/>
      <c r="J204" s="13"/>
      <c r="K204" s="13"/>
      <c r="L204" s="13"/>
      <c r="M204" s="13"/>
      <c r="N204" s="13"/>
      <c r="O204" s="129">
        <v>1000</v>
      </c>
      <c r="P204" s="13"/>
      <c r="Q204" s="13"/>
      <c r="R204" s="13"/>
      <c r="S204" s="88">
        <v>500</v>
      </c>
      <c r="T204" s="13"/>
      <c r="U204" s="13"/>
      <c r="V204" s="88">
        <v>500</v>
      </c>
    </row>
    <row r="205" spans="1:22" ht="30">
      <c r="A205" s="79" t="s">
        <v>215</v>
      </c>
      <c r="B205" s="105" t="s">
        <v>230</v>
      </c>
      <c r="C205" s="13"/>
      <c r="D205" s="13"/>
      <c r="E205" s="71" t="s">
        <v>77</v>
      </c>
      <c r="F205" s="13"/>
      <c r="G205" s="81">
        <v>2315.48</v>
      </c>
      <c r="H205" s="13"/>
      <c r="I205" s="13"/>
      <c r="J205" s="13"/>
      <c r="K205" s="13"/>
      <c r="L205" s="13"/>
      <c r="M205" s="13"/>
      <c r="N205" s="13"/>
      <c r="O205" s="129">
        <v>1000</v>
      </c>
      <c r="P205" s="13"/>
      <c r="Q205" s="13"/>
      <c r="R205" s="13"/>
      <c r="S205" s="88">
        <v>500</v>
      </c>
      <c r="T205" s="13"/>
      <c r="U205" s="13"/>
      <c r="V205" s="88">
        <v>500</v>
      </c>
    </row>
    <row r="206" spans="1:22" ht="30">
      <c r="A206" s="79" t="s">
        <v>217</v>
      </c>
      <c r="B206" s="105" t="s">
        <v>231</v>
      </c>
      <c r="C206" s="13"/>
      <c r="D206" s="13"/>
      <c r="E206" s="71" t="s">
        <v>77</v>
      </c>
      <c r="F206" s="13"/>
      <c r="G206" s="81">
        <v>2315.48</v>
      </c>
      <c r="H206" s="13"/>
      <c r="I206" s="13"/>
      <c r="J206" s="13"/>
      <c r="K206" s="13"/>
      <c r="L206" s="13"/>
      <c r="M206" s="13"/>
      <c r="N206" s="13"/>
      <c r="O206" s="129">
        <v>1000</v>
      </c>
      <c r="P206" s="13"/>
      <c r="Q206" s="13"/>
      <c r="R206" s="13"/>
      <c r="S206" s="82">
        <v>500</v>
      </c>
      <c r="T206" s="13"/>
      <c r="U206" s="13"/>
      <c r="V206" s="82">
        <v>500</v>
      </c>
    </row>
    <row r="207" spans="1:22" ht="30">
      <c r="A207" s="121" t="s">
        <v>232</v>
      </c>
      <c r="B207" s="122" t="s">
        <v>233</v>
      </c>
      <c r="C207" s="13"/>
      <c r="D207" s="13"/>
      <c r="E207" s="123"/>
      <c r="F207" s="13"/>
      <c r="G207" s="127">
        <f>SUM(G208:G210)</f>
        <v>6900</v>
      </c>
      <c r="H207" s="13"/>
      <c r="I207" s="13"/>
      <c r="J207" s="13"/>
      <c r="K207" s="13"/>
      <c r="L207" s="13"/>
      <c r="M207" s="13"/>
      <c r="N207" s="13"/>
      <c r="O207" s="127">
        <f>SUM(O208:O210)</f>
        <v>0</v>
      </c>
      <c r="P207" s="13"/>
      <c r="Q207" s="13"/>
      <c r="R207" s="13"/>
      <c r="S207" s="127">
        <v>1500</v>
      </c>
      <c r="T207" s="13"/>
      <c r="U207" s="13"/>
      <c r="V207" s="127">
        <v>1500</v>
      </c>
    </row>
    <row r="208" spans="1:22" ht="30">
      <c r="A208" s="79" t="s">
        <v>209</v>
      </c>
      <c r="B208" s="80" t="s">
        <v>234</v>
      </c>
      <c r="C208" s="13"/>
      <c r="D208" s="13"/>
      <c r="E208" s="67" t="s">
        <v>518</v>
      </c>
      <c r="F208" s="13"/>
      <c r="G208" s="81">
        <v>2300</v>
      </c>
      <c r="H208" s="13"/>
      <c r="I208" s="13"/>
      <c r="J208" s="13"/>
      <c r="K208" s="13"/>
      <c r="L208" s="13"/>
      <c r="M208" s="13"/>
      <c r="N208" s="13"/>
      <c r="O208" s="126"/>
      <c r="P208" s="13"/>
      <c r="Q208" s="13"/>
      <c r="R208" s="13"/>
      <c r="S208" s="82">
        <v>500</v>
      </c>
      <c r="T208" s="13"/>
      <c r="U208" s="13"/>
      <c r="V208" s="82">
        <v>500</v>
      </c>
    </row>
    <row r="209" spans="1:22" ht="30">
      <c r="A209" s="79" t="s">
        <v>211</v>
      </c>
      <c r="B209" s="80" t="s">
        <v>235</v>
      </c>
      <c r="C209" s="13"/>
      <c r="D209" s="13"/>
      <c r="E209" s="67" t="s">
        <v>518</v>
      </c>
      <c r="F209" s="13"/>
      <c r="G209" s="81">
        <v>2300</v>
      </c>
      <c r="H209" s="13"/>
      <c r="I209" s="13"/>
      <c r="J209" s="13"/>
      <c r="K209" s="13"/>
      <c r="L209" s="13"/>
      <c r="M209" s="13"/>
      <c r="N209" s="13"/>
      <c r="O209" s="126"/>
      <c r="P209" s="13"/>
      <c r="Q209" s="13"/>
      <c r="R209" s="13"/>
      <c r="S209" s="82">
        <v>500</v>
      </c>
      <c r="T209" s="13"/>
      <c r="U209" s="13"/>
      <c r="V209" s="82">
        <v>500</v>
      </c>
    </row>
    <row r="210" spans="1:22" ht="30">
      <c r="A210" s="79" t="s">
        <v>213</v>
      </c>
      <c r="B210" s="80" t="s">
        <v>236</v>
      </c>
      <c r="C210" s="13"/>
      <c r="D210" s="13"/>
      <c r="E210" s="67" t="s">
        <v>518</v>
      </c>
      <c r="F210" s="13"/>
      <c r="G210" s="81">
        <v>2300</v>
      </c>
      <c r="H210" s="13"/>
      <c r="I210" s="13"/>
      <c r="J210" s="13"/>
      <c r="K210" s="13"/>
      <c r="L210" s="13"/>
      <c r="M210" s="13"/>
      <c r="N210" s="13"/>
      <c r="O210" s="126"/>
      <c r="P210" s="13"/>
      <c r="Q210" s="13"/>
      <c r="R210" s="13"/>
      <c r="S210" s="82">
        <v>500</v>
      </c>
      <c r="T210" s="13"/>
      <c r="U210" s="13"/>
      <c r="V210" s="82">
        <v>500</v>
      </c>
    </row>
    <row r="211" spans="1:22" ht="57">
      <c r="A211" s="40" t="s">
        <v>91</v>
      </c>
      <c r="B211" s="120" t="s">
        <v>237</v>
      </c>
      <c r="C211" s="13"/>
      <c r="D211" s="13"/>
      <c r="E211" s="71"/>
      <c r="F211" s="13"/>
      <c r="G211" s="78">
        <f>G212+G219+G233</f>
        <v>29718.025999999998</v>
      </c>
      <c r="H211" s="13"/>
      <c r="I211" s="13"/>
      <c r="J211" s="13"/>
      <c r="K211" s="13"/>
      <c r="L211" s="13"/>
      <c r="M211" s="13"/>
      <c r="N211" s="13"/>
      <c r="O211" s="78">
        <f>O212+O219+O233</f>
        <v>10000</v>
      </c>
      <c r="P211" s="13"/>
      <c r="Q211" s="13"/>
      <c r="R211" s="13"/>
      <c r="S211" s="78">
        <v>12020.630000000001</v>
      </c>
      <c r="T211" s="13"/>
      <c r="U211" s="13"/>
      <c r="V211" s="78">
        <v>12020.630000000001</v>
      </c>
    </row>
    <row r="212" spans="1:22" ht="30">
      <c r="A212" s="121" t="s">
        <v>238</v>
      </c>
      <c r="B212" s="122" t="s">
        <v>208</v>
      </c>
      <c r="C212" s="13"/>
      <c r="D212" s="13"/>
      <c r="E212" s="123"/>
      <c r="F212" s="13"/>
      <c r="G212" s="127">
        <f>SUM(G213:G218)</f>
        <v>7594.630999999999</v>
      </c>
      <c r="H212" s="13"/>
      <c r="I212" s="13"/>
      <c r="J212" s="13"/>
      <c r="K212" s="13"/>
      <c r="L212" s="13"/>
      <c r="M212" s="13"/>
      <c r="N212" s="13"/>
      <c r="O212" s="127">
        <f>SUM(O213:O218)</f>
        <v>3200</v>
      </c>
      <c r="P212" s="13"/>
      <c r="Q212" s="13"/>
      <c r="R212" s="13"/>
      <c r="S212" s="127">
        <v>4330.99</v>
      </c>
      <c r="T212" s="13"/>
      <c r="U212" s="13"/>
      <c r="V212" s="127">
        <v>4330.99</v>
      </c>
    </row>
    <row r="213" spans="1:22" ht="30">
      <c r="A213" s="79" t="s">
        <v>209</v>
      </c>
      <c r="B213" s="80" t="s">
        <v>239</v>
      </c>
      <c r="C213" s="13"/>
      <c r="D213" s="13"/>
      <c r="E213" s="67"/>
      <c r="F213" s="13"/>
      <c r="G213" s="81">
        <v>1511.639</v>
      </c>
      <c r="H213" s="13"/>
      <c r="I213" s="13"/>
      <c r="J213" s="13"/>
      <c r="K213" s="13"/>
      <c r="L213" s="13"/>
      <c r="M213" s="13"/>
      <c r="N213" s="13"/>
      <c r="O213" s="81">
        <v>600</v>
      </c>
      <c r="P213" s="13"/>
      <c r="Q213" s="13"/>
      <c r="R213" s="13"/>
      <c r="S213" s="82">
        <v>909.64</v>
      </c>
      <c r="T213" s="13"/>
      <c r="U213" s="13"/>
      <c r="V213" s="82">
        <v>909.64</v>
      </c>
    </row>
    <row r="214" spans="1:22" ht="15">
      <c r="A214" s="79" t="s">
        <v>211</v>
      </c>
      <c r="B214" s="80" t="s">
        <v>240</v>
      </c>
      <c r="C214" s="13"/>
      <c r="D214" s="13"/>
      <c r="E214" s="67"/>
      <c r="F214" s="13"/>
      <c r="G214" s="81">
        <v>1562.49</v>
      </c>
      <c r="H214" s="13"/>
      <c r="I214" s="13"/>
      <c r="J214" s="13"/>
      <c r="K214" s="13"/>
      <c r="L214" s="13"/>
      <c r="M214" s="13"/>
      <c r="N214" s="13"/>
      <c r="O214" s="81">
        <v>500</v>
      </c>
      <c r="P214" s="13"/>
      <c r="Q214" s="13"/>
      <c r="R214" s="13"/>
      <c r="S214" s="82">
        <v>1049.59</v>
      </c>
      <c r="T214" s="13"/>
      <c r="U214" s="13"/>
      <c r="V214" s="82">
        <v>1049.59</v>
      </c>
    </row>
    <row r="215" spans="1:22" ht="15">
      <c r="A215" s="79" t="s">
        <v>213</v>
      </c>
      <c r="B215" s="80" t="s">
        <v>241</v>
      </c>
      <c r="C215" s="13"/>
      <c r="D215" s="13"/>
      <c r="E215" s="67"/>
      <c r="F215" s="13"/>
      <c r="G215" s="81">
        <v>1123.659</v>
      </c>
      <c r="H215" s="13"/>
      <c r="I215" s="13"/>
      <c r="J215" s="13"/>
      <c r="K215" s="13"/>
      <c r="L215" s="13"/>
      <c r="M215" s="13"/>
      <c r="N215" s="13"/>
      <c r="O215" s="81">
        <v>600</v>
      </c>
      <c r="P215" s="13"/>
      <c r="Q215" s="13"/>
      <c r="R215" s="13"/>
      <c r="S215" s="82">
        <v>514.63</v>
      </c>
      <c r="T215" s="13"/>
      <c r="U215" s="13"/>
      <c r="V215" s="82">
        <v>514.63</v>
      </c>
    </row>
    <row r="216" spans="1:22" ht="15">
      <c r="A216" s="79" t="s">
        <v>215</v>
      </c>
      <c r="B216" s="80" t="s">
        <v>242</v>
      </c>
      <c r="C216" s="13"/>
      <c r="D216" s="13"/>
      <c r="E216" s="67"/>
      <c r="F216" s="13"/>
      <c r="G216" s="81">
        <v>1234.998</v>
      </c>
      <c r="H216" s="13"/>
      <c r="I216" s="13"/>
      <c r="J216" s="13"/>
      <c r="K216" s="13"/>
      <c r="L216" s="13"/>
      <c r="M216" s="13"/>
      <c r="N216" s="13"/>
      <c r="O216" s="81">
        <v>500</v>
      </c>
      <c r="P216" s="13"/>
      <c r="Q216" s="13"/>
      <c r="R216" s="13"/>
      <c r="S216" s="82">
        <v>707.73</v>
      </c>
      <c r="T216" s="13"/>
      <c r="U216" s="13"/>
      <c r="V216" s="82">
        <v>707.73</v>
      </c>
    </row>
    <row r="217" spans="1:22" ht="30">
      <c r="A217" s="79" t="s">
        <v>217</v>
      </c>
      <c r="B217" s="80" t="s">
        <v>243</v>
      </c>
      <c r="C217" s="13"/>
      <c r="D217" s="13"/>
      <c r="E217" s="67"/>
      <c r="F217" s="13"/>
      <c r="G217" s="81">
        <v>708.316</v>
      </c>
      <c r="H217" s="13"/>
      <c r="I217" s="13"/>
      <c r="J217" s="13"/>
      <c r="K217" s="13"/>
      <c r="L217" s="13"/>
      <c r="M217" s="13"/>
      <c r="N217" s="13"/>
      <c r="O217" s="81">
        <v>500</v>
      </c>
      <c r="P217" s="13"/>
      <c r="Q217" s="13"/>
      <c r="R217" s="13"/>
      <c r="S217" s="82">
        <v>199.69</v>
      </c>
      <c r="T217" s="13"/>
      <c r="U217" s="13"/>
      <c r="V217" s="82">
        <v>199.69</v>
      </c>
    </row>
    <row r="218" spans="1:22" ht="30">
      <c r="A218" s="103" t="s">
        <v>219</v>
      </c>
      <c r="B218" s="80" t="s">
        <v>244</v>
      </c>
      <c r="C218" s="13"/>
      <c r="D218" s="13"/>
      <c r="E218" s="67"/>
      <c r="F218" s="13"/>
      <c r="G218" s="81">
        <v>1453.529</v>
      </c>
      <c r="H218" s="13"/>
      <c r="I218" s="13"/>
      <c r="J218" s="13"/>
      <c r="K218" s="13"/>
      <c r="L218" s="13"/>
      <c r="M218" s="13"/>
      <c r="N218" s="13"/>
      <c r="O218" s="81">
        <v>500</v>
      </c>
      <c r="P218" s="13"/>
      <c r="Q218" s="13"/>
      <c r="R218" s="13"/>
      <c r="S218" s="82">
        <v>949.71</v>
      </c>
      <c r="T218" s="13"/>
      <c r="U218" s="13"/>
      <c r="V218" s="82">
        <v>949.71</v>
      </c>
    </row>
    <row r="219" spans="1:22" ht="30">
      <c r="A219" s="121" t="s">
        <v>245</v>
      </c>
      <c r="B219" s="122" t="s">
        <v>246</v>
      </c>
      <c r="C219" s="13"/>
      <c r="D219" s="13"/>
      <c r="E219" s="123"/>
      <c r="F219" s="13"/>
      <c r="G219" s="127">
        <f>SUM(G220:G232)</f>
        <v>15388.894999999997</v>
      </c>
      <c r="H219" s="13"/>
      <c r="I219" s="13"/>
      <c r="J219" s="13"/>
      <c r="K219" s="13"/>
      <c r="L219" s="13"/>
      <c r="M219" s="13"/>
      <c r="N219" s="13"/>
      <c r="O219" s="127">
        <f>SUM(O220:O232)</f>
        <v>6800</v>
      </c>
      <c r="P219" s="13"/>
      <c r="Q219" s="13"/>
      <c r="R219" s="13"/>
      <c r="S219" s="127">
        <v>4262.34</v>
      </c>
      <c r="T219" s="13"/>
      <c r="U219" s="13"/>
      <c r="V219" s="127">
        <v>4262.34</v>
      </c>
    </row>
    <row r="220" spans="1:22" ht="15">
      <c r="A220" s="79" t="s">
        <v>209</v>
      </c>
      <c r="B220" s="80" t="s">
        <v>247</v>
      </c>
      <c r="C220" s="13"/>
      <c r="D220" s="13"/>
      <c r="E220" s="67"/>
      <c r="F220" s="13"/>
      <c r="G220" s="81">
        <v>1647.453</v>
      </c>
      <c r="H220" s="13"/>
      <c r="I220" s="13"/>
      <c r="J220" s="13"/>
      <c r="K220" s="13"/>
      <c r="L220" s="13"/>
      <c r="M220" s="13"/>
      <c r="N220" s="13"/>
      <c r="O220" s="81">
        <v>600</v>
      </c>
      <c r="P220" s="13"/>
      <c r="Q220" s="13"/>
      <c r="R220" s="13"/>
      <c r="S220" s="82">
        <v>1032.5</v>
      </c>
      <c r="T220" s="13"/>
      <c r="U220" s="13"/>
      <c r="V220" s="82">
        <v>1032.5</v>
      </c>
    </row>
    <row r="221" spans="1:22" ht="15">
      <c r="A221" s="79" t="s">
        <v>211</v>
      </c>
      <c r="B221" s="80" t="s">
        <v>248</v>
      </c>
      <c r="C221" s="13"/>
      <c r="D221" s="13"/>
      <c r="E221" s="67"/>
      <c r="F221" s="13"/>
      <c r="G221" s="81">
        <v>1347</v>
      </c>
      <c r="H221" s="13"/>
      <c r="I221" s="13"/>
      <c r="J221" s="13"/>
      <c r="K221" s="13"/>
      <c r="L221" s="13"/>
      <c r="M221" s="13"/>
      <c r="N221" s="13"/>
      <c r="O221" s="81">
        <v>500</v>
      </c>
      <c r="P221" s="13"/>
      <c r="Q221" s="13"/>
      <c r="R221" s="13"/>
      <c r="S221" s="82">
        <v>759</v>
      </c>
      <c r="T221" s="13"/>
      <c r="U221" s="13"/>
      <c r="V221" s="82">
        <v>759</v>
      </c>
    </row>
    <row r="222" spans="1:22" ht="30">
      <c r="A222" s="79" t="s">
        <v>213</v>
      </c>
      <c r="B222" s="80" t="s">
        <v>249</v>
      </c>
      <c r="C222" s="13"/>
      <c r="D222" s="13"/>
      <c r="E222" s="67"/>
      <c r="F222" s="13"/>
      <c r="G222" s="81">
        <v>920.625</v>
      </c>
      <c r="H222" s="13"/>
      <c r="I222" s="13"/>
      <c r="J222" s="13"/>
      <c r="K222" s="13"/>
      <c r="L222" s="13"/>
      <c r="M222" s="13"/>
      <c r="N222" s="13"/>
      <c r="O222" s="81">
        <v>500</v>
      </c>
      <c r="P222" s="13"/>
      <c r="Q222" s="13"/>
      <c r="R222" s="13"/>
      <c r="S222" s="82">
        <v>415.67</v>
      </c>
      <c r="T222" s="13"/>
      <c r="U222" s="13"/>
      <c r="V222" s="82">
        <v>415.67</v>
      </c>
    </row>
    <row r="223" spans="1:22" ht="15">
      <c r="A223" s="79" t="s">
        <v>215</v>
      </c>
      <c r="B223" s="80" t="s">
        <v>250</v>
      </c>
      <c r="C223" s="13"/>
      <c r="D223" s="13"/>
      <c r="E223" s="67"/>
      <c r="F223" s="13"/>
      <c r="G223" s="81">
        <v>640</v>
      </c>
      <c r="H223" s="13"/>
      <c r="I223" s="13"/>
      <c r="J223" s="13"/>
      <c r="K223" s="13"/>
      <c r="L223" s="13"/>
      <c r="M223" s="13"/>
      <c r="N223" s="13"/>
      <c r="O223" s="81">
        <v>500</v>
      </c>
      <c r="P223" s="13"/>
      <c r="Q223" s="13"/>
      <c r="R223" s="13"/>
      <c r="S223" s="82">
        <v>101</v>
      </c>
      <c r="T223" s="13"/>
      <c r="U223" s="13"/>
      <c r="V223" s="82">
        <v>101</v>
      </c>
    </row>
    <row r="224" spans="1:22" ht="15">
      <c r="A224" s="79" t="s">
        <v>217</v>
      </c>
      <c r="B224" s="80" t="s">
        <v>251</v>
      </c>
      <c r="C224" s="13"/>
      <c r="D224" s="13"/>
      <c r="E224" s="67"/>
      <c r="F224" s="13"/>
      <c r="G224" s="81">
        <v>725.262</v>
      </c>
      <c r="H224" s="13"/>
      <c r="I224" s="13"/>
      <c r="J224" s="13"/>
      <c r="K224" s="13"/>
      <c r="L224" s="13"/>
      <c r="M224" s="13"/>
      <c r="N224" s="13"/>
      <c r="O224" s="81">
        <v>500</v>
      </c>
      <c r="P224" s="13"/>
      <c r="Q224" s="13"/>
      <c r="R224" s="13"/>
      <c r="S224" s="82">
        <v>0</v>
      </c>
      <c r="T224" s="13"/>
      <c r="U224" s="13"/>
      <c r="V224" s="82">
        <v>0</v>
      </c>
    </row>
    <row r="225" spans="1:22" ht="30">
      <c r="A225" s="103" t="s">
        <v>219</v>
      </c>
      <c r="B225" s="80" t="s">
        <v>252</v>
      </c>
      <c r="C225" s="13"/>
      <c r="D225" s="13"/>
      <c r="E225" s="67"/>
      <c r="F225" s="13"/>
      <c r="G225" s="81">
        <v>517.547</v>
      </c>
      <c r="H225" s="13"/>
      <c r="I225" s="13"/>
      <c r="J225" s="13"/>
      <c r="K225" s="13"/>
      <c r="L225" s="13"/>
      <c r="M225" s="13"/>
      <c r="N225" s="13"/>
      <c r="O225" s="81">
        <v>500</v>
      </c>
      <c r="P225" s="13"/>
      <c r="Q225" s="13"/>
      <c r="R225" s="13"/>
      <c r="S225" s="82">
        <v>17.22</v>
      </c>
      <c r="T225" s="13"/>
      <c r="U225" s="13"/>
      <c r="V225" s="82">
        <v>17.22</v>
      </c>
    </row>
    <row r="226" spans="1:22" ht="30">
      <c r="A226" s="103" t="s">
        <v>221</v>
      </c>
      <c r="B226" s="80" t="s">
        <v>253</v>
      </c>
      <c r="C226" s="13"/>
      <c r="D226" s="13"/>
      <c r="E226" s="67"/>
      <c r="F226" s="13"/>
      <c r="G226" s="81">
        <v>725.262</v>
      </c>
      <c r="H226" s="13"/>
      <c r="I226" s="13"/>
      <c r="J226" s="13"/>
      <c r="K226" s="13"/>
      <c r="L226" s="13"/>
      <c r="M226" s="13"/>
      <c r="N226" s="13"/>
      <c r="O226" s="81">
        <v>500</v>
      </c>
      <c r="P226" s="13"/>
      <c r="Q226" s="13"/>
      <c r="R226" s="13"/>
      <c r="S226" s="82">
        <v>225.26</v>
      </c>
      <c r="T226" s="13"/>
      <c r="U226" s="13"/>
      <c r="V226" s="82">
        <v>225.26</v>
      </c>
    </row>
    <row r="227" spans="1:22" ht="15">
      <c r="A227" s="103" t="s">
        <v>223</v>
      </c>
      <c r="B227" s="80" t="s">
        <v>254</v>
      </c>
      <c r="C227" s="13"/>
      <c r="D227" s="13"/>
      <c r="E227" s="67"/>
      <c r="F227" s="13"/>
      <c r="G227" s="81">
        <v>717.874</v>
      </c>
      <c r="H227" s="13"/>
      <c r="I227" s="13"/>
      <c r="J227" s="13"/>
      <c r="K227" s="13"/>
      <c r="L227" s="13"/>
      <c r="M227" s="13"/>
      <c r="N227" s="13"/>
      <c r="O227" s="81">
        <v>500</v>
      </c>
      <c r="P227" s="13"/>
      <c r="Q227" s="13"/>
      <c r="R227" s="13"/>
      <c r="S227" s="82">
        <v>217.85</v>
      </c>
      <c r="T227" s="13"/>
      <c r="U227" s="13"/>
      <c r="V227" s="82">
        <v>217.85</v>
      </c>
    </row>
    <row r="228" spans="1:22" ht="15">
      <c r="A228" s="103" t="s">
        <v>255</v>
      </c>
      <c r="B228" s="80" t="s">
        <v>256</v>
      </c>
      <c r="C228" s="13"/>
      <c r="D228" s="13"/>
      <c r="E228" s="67"/>
      <c r="F228" s="13"/>
      <c r="G228" s="81">
        <v>1200</v>
      </c>
      <c r="H228" s="13"/>
      <c r="I228" s="13"/>
      <c r="J228" s="13"/>
      <c r="K228" s="13"/>
      <c r="L228" s="13"/>
      <c r="M228" s="13"/>
      <c r="N228" s="13"/>
      <c r="O228" s="81">
        <v>500</v>
      </c>
      <c r="P228" s="13"/>
      <c r="Q228" s="13"/>
      <c r="R228" s="13"/>
      <c r="S228" s="82">
        <v>620</v>
      </c>
      <c r="T228" s="13"/>
      <c r="U228" s="13"/>
      <c r="V228" s="82">
        <v>620</v>
      </c>
    </row>
    <row r="229" spans="1:22" ht="30">
      <c r="A229" s="103" t="s">
        <v>257</v>
      </c>
      <c r="B229" s="80" t="s">
        <v>258</v>
      </c>
      <c r="C229" s="13"/>
      <c r="D229" s="13"/>
      <c r="E229" s="67"/>
      <c r="F229" s="13"/>
      <c r="G229" s="81">
        <v>1147.872</v>
      </c>
      <c r="H229" s="13"/>
      <c r="I229" s="13"/>
      <c r="J229" s="13"/>
      <c r="K229" s="13"/>
      <c r="L229" s="13"/>
      <c r="M229" s="13"/>
      <c r="N229" s="13"/>
      <c r="O229" s="81">
        <v>600</v>
      </c>
      <c r="P229" s="13"/>
      <c r="Q229" s="13"/>
      <c r="R229" s="13"/>
      <c r="S229" s="82">
        <v>561.84</v>
      </c>
      <c r="T229" s="13"/>
      <c r="U229" s="13"/>
      <c r="V229" s="82">
        <v>561.84</v>
      </c>
    </row>
    <row r="230" spans="1:22" ht="30">
      <c r="A230" s="103" t="s">
        <v>259</v>
      </c>
      <c r="B230" s="80" t="s">
        <v>260</v>
      </c>
      <c r="C230" s="13"/>
      <c r="D230" s="13"/>
      <c r="E230" s="67"/>
      <c r="F230" s="13"/>
      <c r="G230" s="81">
        <v>1250</v>
      </c>
      <c r="H230" s="13"/>
      <c r="I230" s="13"/>
      <c r="J230" s="13"/>
      <c r="K230" s="13"/>
      <c r="L230" s="13"/>
      <c r="M230" s="13"/>
      <c r="N230" s="13"/>
      <c r="O230" s="81">
        <v>600</v>
      </c>
      <c r="P230" s="13"/>
      <c r="Q230" s="13"/>
      <c r="R230" s="13"/>
      <c r="S230" s="82">
        <v>0</v>
      </c>
      <c r="T230" s="13"/>
      <c r="U230" s="13"/>
      <c r="V230" s="82">
        <v>0</v>
      </c>
    </row>
    <row r="231" spans="1:22" ht="15">
      <c r="A231" s="103" t="s">
        <v>261</v>
      </c>
      <c r="B231" s="80" t="s">
        <v>262</v>
      </c>
      <c r="C231" s="13"/>
      <c r="D231" s="13"/>
      <c r="E231" s="67"/>
      <c r="F231" s="13"/>
      <c r="G231" s="81">
        <v>850</v>
      </c>
      <c r="H231" s="13"/>
      <c r="I231" s="13"/>
      <c r="J231" s="13"/>
      <c r="K231" s="13"/>
      <c r="L231" s="13"/>
      <c r="M231" s="13"/>
      <c r="N231" s="13"/>
      <c r="O231" s="81">
        <v>500</v>
      </c>
      <c r="P231" s="13"/>
      <c r="Q231" s="13"/>
      <c r="R231" s="13"/>
      <c r="S231" s="82">
        <v>312</v>
      </c>
      <c r="T231" s="13"/>
      <c r="U231" s="13"/>
      <c r="V231" s="82">
        <v>312</v>
      </c>
    </row>
    <row r="232" spans="1:22" ht="75">
      <c r="A232" s="103" t="s">
        <v>263</v>
      </c>
      <c r="B232" s="130" t="s">
        <v>264</v>
      </c>
      <c r="C232" s="13"/>
      <c r="D232" s="13"/>
      <c r="E232" s="131"/>
      <c r="F232" s="13"/>
      <c r="G232" s="82">
        <v>3700</v>
      </c>
      <c r="H232" s="13"/>
      <c r="I232" s="13"/>
      <c r="J232" s="13"/>
      <c r="K232" s="13"/>
      <c r="L232" s="13"/>
      <c r="M232" s="13"/>
      <c r="N232" s="13"/>
      <c r="O232" s="81">
        <v>500</v>
      </c>
      <c r="P232" s="13"/>
      <c r="Q232" s="13"/>
      <c r="R232" s="13"/>
      <c r="S232" s="82">
        <v>0</v>
      </c>
      <c r="T232" s="13"/>
      <c r="U232" s="13"/>
      <c r="V232" s="82">
        <v>0</v>
      </c>
    </row>
    <row r="233" spans="1:22" ht="30">
      <c r="A233" s="132" t="s">
        <v>265</v>
      </c>
      <c r="B233" s="133" t="s">
        <v>233</v>
      </c>
      <c r="C233" s="13"/>
      <c r="D233" s="13"/>
      <c r="E233" s="134"/>
      <c r="F233" s="13"/>
      <c r="G233" s="125">
        <f>SUM(G234:G240)</f>
        <v>6734.499999999999</v>
      </c>
      <c r="H233" s="13"/>
      <c r="I233" s="13"/>
      <c r="J233" s="13"/>
      <c r="K233" s="13"/>
      <c r="L233" s="13"/>
      <c r="M233" s="13"/>
      <c r="N233" s="13"/>
      <c r="O233" s="125">
        <f>SUM(O234:O240)</f>
        <v>0</v>
      </c>
      <c r="P233" s="13"/>
      <c r="Q233" s="13"/>
      <c r="R233" s="13"/>
      <c r="S233" s="125">
        <v>3427.3</v>
      </c>
      <c r="T233" s="13"/>
      <c r="U233" s="13"/>
      <c r="V233" s="125">
        <v>3427.3</v>
      </c>
    </row>
    <row r="234" spans="1:22" ht="30">
      <c r="A234" s="79" t="s">
        <v>209</v>
      </c>
      <c r="B234" s="105" t="s">
        <v>266</v>
      </c>
      <c r="C234" s="13"/>
      <c r="D234" s="13"/>
      <c r="E234" s="71" t="s">
        <v>77</v>
      </c>
      <c r="F234" s="13"/>
      <c r="G234" s="81">
        <v>844.7</v>
      </c>
      <c r="H234" s="13"/>
      <c r="I234" s="13"/>
      <c r="J234" s="13"/>
      <c r="K234" s="13"/>
      <c r="L234" s="13"/>
      <c r="M234" s="13"/>
      <c r="N234" s="13"/>
      <c r="O234" s="129"/>
      <c r="P234" s="13"/>
      <c r="Q234" s="13"/>
      <c r="R234" s="13"/>
      <c r="S234" s="88">
        <v>524.7</v>
      </c>
      <c r="T234" s="13"/>
      <c r="U234" s="13"/>
      <c r="V234" s="88">
        <v>524.7</v>
      </c>
    </row>
    <row r="235" spans="1:22" ht="30">
      <c r="A235" s="79" t="s">
        <v>211</v>
      </c>
      <c r="B235" s="105" t="s">
        <v>267</v>
      </c>
      <c r="C235" s="13"/>
      <c r="D235" s="13"/>
      <c r="E235" s="71" t="s">
        <v>77</v>
      </c>
      <c r="F235" s="13"/>
      <c r="G235" s="81">
        <v>487.8</v>
      </c>
      <c r="H235" s="13"/>
      <c r="I235" s="13"/>
      <c r="J235" s="13"/>
      <c r="K235" s="13"/>
      <c r="L235" s="13"/>
      <c r="M235" s="13"/>
      <c r="N235" s="13"/>
      <c r="O235" s="129"/>
      <c r="P235" s="13"/>
      <c r="Q235" s="13"/>
      <c r="R235" s="13"/>
      <c r="S235" s="88">
        <v>307.8</v>
      </c>
      <c r="T235" s="13"/>
      <c r="U235" s="13"/>
      <c r="V235" s="88">
        <v>307.8</v>
      </c>
    </row>
    <row r="236" spans="1:22" ht="30">
      <c r="A236" s="79" t="s">
        <v>213</v>
      </c>
      <c r="B236" s="105" t="s">
        <v>268</v>
      </c>
      <c r="C236" s="13"/>
      <c r="D236" s="13"/>
      <c r="E236" s="71" t="s">
        <v>77</v>
      </c>
      <c r="F236" s="13"/>
      <c r="G236" s="81">
        <v>487.8</v>
      </c>
      <c r="H236" s="13"/>
      <c r="I236" s="13"/>
      <c r="J236" s="13"/>
      <c r="K236" s="13"/>
      <c r="L236" s="13"/>
      <c r="M236" s="13"/>
      <c r="N236" s="13"/>
      <c r="O236" s="129"/>
      <c r="P236" s="13"/>
      <c r="Q236" s="13"/>
      <c r="R236" s="13"/>
      <c r="S236" s="88">
        <v>307.8</v>
      </c>
      <c r="T236" s="13"/>
      <c r="U236" s="13"/>
      <c r="V236" s="88">
        <v>307.8</v>
      </c>
    </row>
    <row r="237" spans="1:22" ht="30">
      <c r="A237" s="79" t="s">
        <v>215</v>
      </c>
      <c r="B237" s="105" t="s">
        <v>269</v>
      </c>
      <c r="C237" s="13"/>
      <c r="D237" s="13"/>
      <c r="E237" s="71" t="s">
        <v>77</v>
      </c>
      <c r="F237" s="13"/>
      <c r="G237" s="81">
        <v>1959.1</v>
      </c>
      <c r="H237" s="13"/>
      <c r="I237" s="13"/>
      <c r="J237" s="13"/>
      <c r="K237" s="13"/>
      <c r="L237" s="13"/>
      <c r="M237" s="13"/>
      <c r="N237" s="13"/>
      <c r="O237" s="129"/>
      <c r="P237" s="13"/>
      <c r="Q237" s="13"/>
      <c r="R237" s="13"/>
      <c r="S237" s="88">
        <v>600</v>
      </c>
      <c r="T237" s="13"/>
      <c r="U237" s="13"/>
      <c r="V237" s="88">
        <v>600</v>
      </c>
    </row>
    <row r="238" spans="1:22" ht="30">
      <c r="A238" s="79" t="s">
        <v>217</v>
      </c>
      <c r="B238" s="105" t="s">
        <v>270</v>
      </c>
      <c r="C238" s="13"/>
      <c r="D238" s="13"/>
      <c r="E238" s="71" t="s">
        <v>77</v>
      </c>
      <c r="F238" s="13"/>
      <c r="G238" s="81">
        <v>992.4</v>
      </c>
      <c r="H238" s="13"/>
      <c r="I238" s="13"/>
      <c r="J238" s="13"/>
      <c r="K238" s="13"/>
      <c r="L238" s="13"/>
      <c r="M238" s="13"/>
      <c r="N238" s="13"/>
      <c r="O238" s="129"/>
      <c r="P238" s="13"/>
      <c r="Q238" s="13"/>
      <c r="R238" s="13"/>
      <c r="S238" s="88">
        <v>500</v>
      </c>
      <c r="T238" s="13"/>
      <c r="U238" s="13"/>
      <c r="V238" s="88">
        <v>500</v>
      </c>
    </row>
    <row r="239" spans="1:22" ht="30">
      <c r="A239" s="103" t="s">
        <v>219</v>
      </c>
      <c r="B239" s="105" t="s">
        <v>271</v>
      </c>
      <c r="C239" s="13"/>
      <c r="D239" s="13"/>
      <c r="E239" s="71" t="s">
        <v>77</v>
      </c>
      <c r="F239" s="13"/>
      <c r="G239" s="81">
        <v>1212.5</v>
      </c>
      <c r="H239" s="13"/>
      <c r="I239" s="13"/>
      <c r="J239" s="13"/>
      <c r="K239" s="13"/>
      <c r="L239" s="13"/>
      <c r="M239" s="13"/>
      <c r="N239" s="13"/>
      <c r="O239" s="129"/>
      <c r="P239" s="13"/>
      <c r="Q239" s="13"/>
      <c r="R239" s="13"/>
      <c r="S239" s="88">
        <v>737</v>
      </c>
      <c r="T239" s="13"/>
      <c r="U239" s="13"/>
      <c r="V239" s="88">
        <v>737</v>
      </c>
    </row>
    <row r="240" spans="1:22" ht="30">
      <c r="A240" s="103" t="s">
        <v>221</v>
      </c>
      <c r="B240" s="105" t="s">
        <v>272</v>
      </c>
      <c r="C240" s="13"/>
      <c r="D240" s="13"/>
      <c r="E240" s="71" t="s">
        <v>77</v>
      </c>
      <c r="F240" s="13"/>
      <c r="G240" s="81">
        <v>750.2</v>
      </c>
      <c r="H240" s="13"/>
      <c r="I240" s="13"/>
      <c r="J240" s="13"/>
      <c r="K240" s="13"/>
      <c r="L240" s="13"/>
      <c r="M240" s="13"/>
      <c r="N240" s="13"/>
      <c r="O240" s="129"/>
      <c r="P240" s="13"/>
      <c r="Q240" s="13"/>
      <c r="R240" s="13"/>
      <c r="S240" s="88">
        <v>450</v>
      </c>
      <c r="T240" s="13"/>
      <c r="U240" s="13"/>
      <c r="V240" s="88">
        <v>450</v>
      </c>
    </row>
    <row r="241" spans="1:22" ht="28.5">
      <c r="A241" s="62" t="s">
        <v>273</v>
      </c>
      <c r="B241" s="135" t="s">
        <v>274</v>
      </c>
      <c r="C241" s="13"/>
      <c r="D241" s="13"/>
      <c r="E241" s="62"/>
      <c r="F241" s="13"/>
      <c r="G241" s="59">
        <f>G242+G256+G248+G254+G251</f>
        <v>724700</v>
      </c>
      <c r="H241" s="13"/>
      <c r="I241" s="13"/>
      <c r="J241" s="13"/>
      <c r="K241" s="13"/>
      <c r="L241" s="13"/>
      <c r="M241" s="13"/>
      <c r="N241" s="13"/>
      <c r="O241" s="59">
        <f>O242+O256+O248+O254+O251</f>
        <v>53933.11</v>
      </c>
      <c r="P241" s="13"/>
      <c r="Q241" s="13"/>
      <c r="R241" s="13"/>
      <c r="S241" s="59">
        <v>82266.89</v>
      </c>
      <c r="T241" s="13"/>
      <c r="U241" s="13"/>
      <c r="V241" s="59">
        <v>82266.89</v>
      </c>
    </row>
    <row r="242" spans="1:22" ht="15">
      <c r="A242" s="62" t="s">
        <v>275</v>
      </c>
      <c r="B242" s="111" t="s">
        <v>187</v>
      </c>
      <c r="C242" s="13"/>
      <c r="D242" s="13"/>
      <c r="E242" s="77"/>
      <c r="F242" s="13"/>
      <c r="G242" s="59">
        <f>SUM(G243:G247)</f>
        <v>629700</v>
      </c>
      <c r="H242" s="13"/>
      <c r="I242" s="13"/>
      <c r="J242" s="13"/>
      <c r="K242" s="13"/>
      <c r="L242" s="13"/>
      <c r="M242" s="13"/>
      <c r="N242" s="13"/>
      <c r="O242" s="59">
        <f>SUM(O243:O247)</f>
        <v>48000</v>
      </c>
      <c r="P242" s="13"/>
      <c r="Q242" s="13"/>
      <c r="R242" s="13"/>
      <c r="S242" s="59">
        <v>50000</v>
      </c>
      <c r="T242" s="13"/>
      <c r="U242" s="13"/>
      <c r="V242" s="59">
        <v>50000</v>
      </c>
    </row>
    <row r="243" spans="1:22" ht="75">
      <c r="A243" s="100" t="s">
        <v>89</v>
      </c>
      <c r="B243" s="66" t="s">
        <v>276</v>
      </c>
      <c r="C243" s="13"/>
      <c r="D243" s="13"/>
      <c r="E243" s="71" t="s">
        <v>520</v>
      </c>
      <c r="F243" s="13"/>
      <c r="G243" s="87">
        <v>65800</v>
      </c>
      <c r="H243" s="13"/>
      <c r="I243" s="13"/>
      <c r="J243" s="13"/>
      <c r="K243" s="13"/>
      <c r="L243" s="13"/>
      <c r="M243" s="13"/>
      <c r="N243" s="13"/>
      <c r="O243" s="74">
        <v>20000</v>
      </c>
      <c r="P243" s="13"/>
      <c r="Q243" s="13"/>
      <c r="R243" s="13"/>
      <c r="S243" s="88">
        <v>18000</v>
      </c>
      <c r="T243" s="13"/>
      <c r="U243" s="13"/>
      <c r="V243" s="88">
        <v>18000</v>
      </c>
    </row>
    <row r="244" spans="1:22" ht="45">
      <c r="A244" s="100" t="s">
        <v>91</v>
      </c>
      <c r="B244" s="66" t="s">
        <v>277</v>
      </c>
      <c r="C244" s="13"/>
      <c r="D244" s="13"/>
      <c r="E244" s="71" t="s">
        <v>520</v>
      </c>
      <c r="F244" s="13"/>
      <c r="G244" s="87">
        <v>44900</v>
      </c>
      <c r="H244" s="13"/>
      <c r="I244" s="13"/>
      <c r="J244" s="13"/>
      <c r="K244" s="13"/>
      <c r="L244" s="13"/>
      <c r="M244" s="13"/>
      <c r="N244" s="13"/>
      <c r="O244" s="74">
        <v>8000</v>
      </c>
      <c r="P244" s="13"/>
      <c r="Q244" s="13"/>
      <c r="R244" s="13"/>
      <c r="S244" s="88">
        <v>8000</v>
      </c>
      <c r="T244" s="13"/>
      <c r="U244" s="13"/>
      <c r="V244" s="88">
        <v>8000</v>
      </c>
    </row>
    <row r="245" spans="1:22" ht="45">
      <c r="A245" s="100" t="s">
        <v>93</v>
      </c>
      <c r="B245" s="136" t="s">
        <v>278</v>
      </c>
      <c r="C245" s="13"/>
      <c r="D245" s="13"/>
      <c r="E245" s="71" t="s">
        <v>520</v>
      </c>
      <c r="F245" s="13"/>
      <c r="G245" s="87">
        <v>49500</v>
      </c>
      <c r="H245" s="13"/>
      <c r="I245" s="13"/>
      <c r="J245" s="13"/>
      <c r="K245" s="13"/>
      <c r="L245" s="13"/>
      <c r="M245" s="13"/>
      <c r="N245" s="13"/>
      <c r="O245" s="74">
        <v>10000</v>
      </c>
      <c r="P245" s="13"/>
      <c r="Q245" s="13"/>
      <c r="R245" s="13"/>
      <c r="S245" s="88">
        <v>12000</v>
      </c>
      <c r="T245" s="13"/>
      <c r="U245" s="13"/>
      <c r="V245" s="88">
        <v>12000</v>
      </c>
    </row>
    <row r="246" spans="1:22" ht="45">
      <c r="A246" s="100" t="s">
        <v>95</v>
      </c>
      <c r="B246" s="136" t="s">
        <v>279</v>
      </c>
      <c r="C246" s="13"/>
      <c r="D246" s="13"/>
      <c r="E246" s="71" t="s">
        <v>520</v>
      </c>
      <c r="F246" s="13"/>
      <c r="G246" s="87">
        <v>49500</v>
      </c>
      <c r="H246" s="13"/>
      <c r="I246" s="13"/>
      <c r="J246" s="13"/>
      <c r="K246" s="13"/>
      <c r="L246" s="13"/>
      <c r="M246" s="13"/>
      <c r="N246" s="13"/>
      <c r="O246" s="74">
        <v>10000</v>
      </c>
      <c r="P246" s="13"/>
      <c r="Q246" s="13"/>
      <c r="R246" s="13"/>
      <c r="S246" s="88">
        <v>12000</v>
      </c>
      <c r="T246" s="13"/>
      <c r="U246" s="13"/>
      <c r="V246" s="88">
        <v>12000</v>
      </c>
    </row>
    <row r="247" spans="1:22" ht="45">
      <c r="A247" s="100" t="s">
        <v>97</v>
      </c>
      <c r="B247" s="136" t="s">
        <v>280</v>
      </c>
      <c r="C247" s="13"/>
      <c r="D247" s="13"/>
      <c r="E247" s="71" t="s">
        <v>520</v>
      </c>
      <c r="F247" s="13"/>
      <c r="G247" s="87">
        <v>420000</v>
      </c>
      <c r="H247" s="13"/>
      <c r="I247" s="13"/>
      <c r="J247" s="13"/>
      <c r="K247" s="13"/>
      <c r="L247" s="13"/>
      <c r="M247" s="13"/>
      <c r="N247" s="13"/>
      <c r="O247" s="74"/>
      <c r="P247" s="13"/>
      <c r="Q247" s="13"/>
      <c r="R247" s="13"/>
      <c r="S247" s="88"/>
      <c r="T247" s="13"/>
      <c r="U247" s="13"/>
      <c r="V247" s="88"/>
    </row>
    <row r="248" spans="1:22" ht="15">
      <c r="A248" s="62" t="s">
        <v>281</v>
      </c>
      <c r="B248" s="111" t="s">
        <v>203</v>
      </c>
      <c r="C248" s="13"/>
      <c r="D248" s="13"/>
      <c r="E248" s="67"/>
      <c r="F248" s="13"/>
      <c r="G248" s="78">
        <f>SUM(G249:G250)</f>
        <v>95000</v>
      </c>
      <c r="H248" s="13"/>
      <c r="I248" s="13"/>
      <c r="J248" s="13"/>
      <c r="K248" s="13"/>
      <c r="L248" s="13"/>
      <c r="M248" s="13"/>
      <c r="N248" s="13"/>
      <c r="O248" s="78">
        <f>SUM(O249:O250)</f>
        <v>3000</v>
      </c>
      <c r="P248" s="13"/>
      <c r="Q248" s="13"/>
      <c r="R248" s="13"/>
      <c r="S248" s="78">
        <v>3000</v>
      </c>
      <c r="T248" s="13"/>
      <c r="U248" s="13"/>
      <c r="V248" s="78">
        <v>3000</v>
      </c>
    </row>
    <row r="249" spans="1:22" ht="60">
      <c r="A249" s="100" t="s">
        <v>89</v>
      </c>
      <c r="B249" s="137" t="s">
        <v>81</v>
      </c>
      <c r="C249" s="13"/>
      <c r="D249" s="13"/>
      <c r="E249" s="67"/>
      <c r="F249" s="13"/>
      <c r="G249" s="81"/>
      <c r="H249" s="13"/>
      <c r="I249" s="13"/>
      <c r="J249" s="13"/>
      <c r="K249" s="13"/>
      <c r="L249" s="13"/>
      <c r="M249" s="13"/>
      <c r="N249" s="13"/>
      <c r="O249" s="74">
        <v>0</v>
      </c>
      <c r="P249" s="13"/>
      <c r="Q249" s="13"/>
      <c r="R249" s="13"/>
      <c r="S249" s="88">
        <v>3000</v>
      </c>
      <c r="T249" s="13"/>
      <c r="U249" s="13"/>
      <c r="V249" s="88">
        <v>3000</v>
      </c>
    </row>
    <row r="250" spans="1:22" ht="45">
      <c r="A250" s="100" t="s">
        <v>91</v>
      </c>
      <c r="B250" s="104" t="s">
        <v>282</v>
      </c>
      <c r="C250" s="13"/>
      <c r="D250" s="13"/>
      <c r="E250" s="67" t="s">
        <v>518</v>
      </c>
      <c r="F250" s="13"/>
      <c r="G250" s="81">
        <v>95000</v>
      </c>
      <c r="H250" s="13"/>
      <c r="I250" s="13"/>
      <c r="J250" s="13"/>
      <c r="K250" s="13"/>
      <c r="L250" s="13"/>
      <c r="M250" s="13"/>
      <c r="N250" s="13"/>
      <c r="O250" s="74">
        <v>3000</v>
      </c>
      <c r="P250" s="13"/>
      <c r="Q250" s="13"/>
      <c r="R250" s="13"/>
      <c r="S250" s="88">
        <v>0</v>
      </c>
      <c r="T250" s="13"/>
      <c r="U250" s="13"/>
      <c r="V250" s="88">
        <v>0</v>
      </c>
    </row>
    <row r="251" spans="1:22" ht="15">
      <c r="A251" s="62" t="s">
        <v>283</v>
      </c>
      <c r="B251" s="111" t="s">
        <v>284</v>
      </c>
      <c r="C251" s="13"/>
      <c r="D251" s="13"/>
      <c r="E251" s="77"/>
      <c r="F251" s="13"/>
      <c r="G251" s="78">
        <f>SUM(G252:G253)</f>
        <v>0</v>
      </c>
      <c r="H251" s="13"/>
      <c r="I251" s="13"/>
      <c r="J251" s="13"/>
      <c r="K251" s="13"/>
      <c r="L251" s="13"/>
      <c r="M251" s="13"/>
      <c r="N251" s="13"/>
      <c r="O251" s="78">
        <f>SUM(O252:O253)</f>
        <v>200</v>
      </c>
      <c r="P251" s="13"/>
      <c r="Q251" s="13"/>
      <c r="R251" s="13"/>
      <c r="S251" s="78">
        <v>6000</v>
      </c>
      <c r="T251" s="13"/>
      <c r="U251" s="13"/>
      <c r="V251" s="78">
        <v>6000</v>
      </c>
    </row>
    <row r="252" spans="1:22" ht="30">
      <c r="A252" s="103" t="s">
        <v>89</v>
      </c>
      <c r="B252" s="104" t="s">
        <v>285</v>
      </c>
      <c r="C252" s="13"/>
      <c r="D252" s="13"/>
      <c r="E252" s="67" t="s">
        <v>518</v>
      </c>
      <c r="F252" s="13"/>
      <c r="G252" s="81"/>
      <c r="H252" s="13"/>
      <c r="I252" s="13"/>
      <c r="J252" s="13"/>
      <c r="K252" s="13"/>
      <c r="L252" s="13"/>
      <c r="M252" s="13"/>
      <c r="N252" s="13"/>
      <c r="O252" s="74">
        <v>100</v>
      </c>
      <c r="P252" s="13"/>
      <c r="Q252" s="13"/>
      <c r="R252" s="13"/>
      <c r="S252" s="88">
        <v>3000</v>
      </c>
      <c r="T252" s="13"/>
      <c r="U252" s="13"/>
      <c r="V252" s="88">
        <v>3000</v>
      </c>
    </row>
    <row r="253" spans="1:22" ht="30">
      <c r="A253" s="103" t="s">
        <v>91</v>
      </c>
      <c r="B253" s="104" t="s">
        <v>286</v>
      </c>
      <c r="C253" s="13"/>
      <c r="D253" s="13"/>
      <c r="E253" s="67" t="s">
        <v>518</v>
      </c>
      <c r="F253" s="13"/>
      <c r="G253" s="81"/>
      <c r="H253" s="13"/>
      <c r="I253" s="13"/>
      <c r="J253" s="13"/>
      <c r="K253" s="13"/>
      <c r="L253" s="13"/>
      <c r="M253" s="13"/>
      <c r="N253" s="13"/>
      <c r="O253" s="74">
        <v>100</v>
      </c>
      <c r="P253" s="13"/>
      <c r="Q253" s="13"/>
      <c r="R253" s="13"/>
      <c r="S253" s="88">
        <v>3000</v>
      </c>
      <c r="T253" s="13"/>
      <c r="U253" s="13"/>
      <c r="V253" s="88">
        <v>3000</v>
      </c>
    </row>
    <row r="254" spans="1:22" ht="15">
      <c r="A254" s="62" t="s">
        <v>287</v>
      </c>
      <c r="B254" s="111" t="s">
        <v>288</v>
      </c>
      <c r="C254" s="13"/>
      <c r="D254" s="13"/>
      <c r="E254" s="77"/>
      <c r="F254" s="13"/>
      <c r="G254" s="78"/>
      <c r="H254" s="13"/>
      <c r="I254" s="13"/>
      <c r="J254" s="13"/>
      <c r="K254" s="13"/>
      <c r="L254" s="13"/>
      <c r="M254" s="13"/>
      <c r="N254" s="13"/>
      <c r="O254" s="59"/>
      <c r="P254" s="13"/>
      <c r="Q254" s="13"/>
      <c r="R254" s="13"/>
      <c r="S254" s="95">
        <v>20000</v>
      </c>
      <c r="T254" s="13"/>
      <c r="U254" s="13"/>
      <c r="V254" s="95">
        <v>20000</v>
      </c>
    </row>
    <row r="255" spans="1:22" ht="60">
      <c r="A255" s="103" t="s">
        <v>89</v>
      </c>
      <c r="B255" s="104" t="s">
        <v>289</v>
      </c>
      <c r="C255" s="13"/>
      <c r="D255" s="13"/>
      <c r="E255" s="67" t="s">
        <v>77</v>
      </c>
      <c r="F255" s="13"/>
      <c r="G255" s="82">
        <v>34800</v>
      </c>
      <c r="H255" s="13"/>
      <c r="I255" s="13"/>
      <c r="J255" s="13"/>
      <c r="K255" s="13"/>
      <c r="L255" s="13"/>
      <c r="M255" s="13"/>
      <c r="N255" s="13"/>
      <c r="O255" s="74"/>
      <c r="P255" s="13"/>
      <c r="Q255" s="13"/>
      <c r="R255" s="13"/>
      <c r="S255" s="88">
        <v>20000</v>
      </c>
      <c r="T255" s="13"/>
      <c r="U255" s="13"/>
      <c r="V255" s="88">
        <v>20000</v>
      </c>
    </row>
    <row r="256" spans="1:22" ht="28.5">
      <c r="A256" s="62" t="s">
        <v>290</v>
      </c>
      <c r="B256" s="111" t="s">
        <v>291</v>
      </c>
      <c r="C256" s="13"/>
      <c r="D256" s="13"/>
      <c r="E256" s="77"/>
      <c r="F256" s="13"/>
      <c r="G256" s="78"/>
      <c r="H256" s="13"/>
      <c r="I256" s="13"/>
      <c r="J256" s="13"/>
      <c r="K256" s="13"/>
      <c r="L256" s="13"/>
      <c r="M256" s="13"/>
      <c r="N256" s="13"/>
      <c r="O256" s="110">
        <f>SUM(O257:O259)</f>
        <v>2733.11</v>
      </c>
      <c r="P256" s="13"/>
      <c r="Q256" s="13"/>
      <c r="R256" s="13"/>
      <c r="S256" s="110">
        <v>3266.89</v>
      </c>
      <c r="T256" s="13"/>
      <c r="U256" s="13"/>
      <c r="V256" s="110">
        <v>3266.89</v>
      </c>
    </row>
    <row r="257" spans="1:22" ht="75">
      <c r="A257" s="100" t="s">
        <v>89</v>
      </c>
      <c r="B257" s="83" t="s">
        <v>292</v>
      </c>
      <c r="C257" s="13"/>
      <c r="D257" s="13"/>
      <c r="E257" s="67"/>
      <c r="F257" s="13"/>
      <c r="G257" s="81"/>
      <c r="H257" s="13"/>
      <c r="I257" s="13"/>
      <c r="J257" s="13"/>
      <c r="K257" s="13"/>
      <c r="L257" s="13"/>
      <c r="M257" s="13"/>
      <c r="N257" s="13"/>
      <c r="O257" s="74"/>
      <c r="P257" s="13"/>
      <c r="Q257" s="13"/>
      <c r="R257" s="13"/>
      <c r="S257" s="82">
        <v>0</v>
      </c>
      <c r="T257" s="13"/>
      <c r="U257" s="13"/>
      <c r="V257" s="82">
        <v>0</v>
      </c>
    </row>
    <row r="258" spans="1:22" ht="75">
      <c r="A258" s="100" t="s">
        <v>91</v>
      </c>
      <c r="B258" s="138" t="s">
        <v>47</v>
      </c>
      <c r="C258" s="13"/>
      <c r="D258" s="13"/>
      <c r="E258" s="77"/>
      <c r="F258" s="13"/>
      <c r="G258" s="82"/>
      <c r="H258" s="13"/>
      <c r="I258" s="13"/>
      <c r="J258" s="13"/>
      <c r="K258" s="13"/>
      <c r="L258" s="13"/>
      <c r="M258" s="13"/>
      <c r="N258" s="13"/>
      <c r="O258" s="74">
        <v>1733.1100000000001</v>
      </c>
      <c r="P258" s="13"/>
      <c r="Q258" s="13"/>
      <c r="R258" s="13"/>
      <c r="S258" s="82">
        <v>266.8899999999999</v>
      </c>
      <c r="T258" s="13"/>
      <c r="U258" s="13"/>
      <c r="V258" s="82">
        <v>266.8899999999999</v>
      </c>
    </row>
    <row r="259" spans="1:22" ht="45">
      <c r="A259" s="100" t="s">
        <v>93</v>
      </c>
      <c r="B259" s="138" t="s">
        <v>293</v>
      </c>
      <c r="C259" s="13"/>
      <c r="D259" s="13"/>
      <c r="E259" s="67" t="s">
        <v>521</v>
      </c>
      <c r="F259" s="13"/>
      <c r="G259" s="82"/>
      <c r="H259" s="13"/>
      <c r="I259" s="13"/>
      <c r="J259" s="13"/>
      <c r="K259" s="13"/>
      <c r="L259" s="13"/>
      <c r="M259" s="13"/>
      <c r="N259" s="13"/>
      <c r="O259" s="74">
        <v>1000</v>
      </c>
      <c r="P259" s="13"/>
      <c r="Q259" s="13"/>
      <c r="R259" s="13"/>
      <c r="S259" s="82">
        <v>3000</v>
      </c>
      <c r="T259" s="13"/>
      <c r="U259" s="13"/>
      <c r="V259" s="82">
        <v>3000</v>
      </c>
    </row>
    <row r="260" spans="1:22" ht="15">
      <c r="A260" s="62" t="s">
        <v>294</v>
      </c>
      <c r="B260" s="139" t="s">
        <v>43</v>
      </c>
      <c r="C260" s="13"/>
      <c r="D260" s="13"/>
      <c r="E260" s="77"/>
      <c r="F260" s="13"/>
      <c r="G260" s="78">
        <f>G261+G284+G329+G337+G356+G358+G397+G403+G409+G424</f>
        <v>918295</v>
      </c>
      <c r="H260" s="13"/>
      <c r="I260" s="13"/>
      <c r="J260" s="13"/>
      <c r="K260" s="13"/>
      <c r="L260" s="13"/>
      <c r="M260" s="13"/>
      <c r="N260" s="13"/>
      <c r="O260" s="78">
        <f>O261+O284+O329+O337+O356+O358+O397+O403+O409+O424</f>
        <v>5733.55</v>
      </c>
      <c r="P260" s="13"/>
      <c r="Q260" s="13"/>
      <c r="R260" s="13"/>
      <c r="S260" s="78">
        <v>102000</v>
      </c>
      <c r="T260" s="13"/>
      <c r="U260" s="13"/>
      <c r="V260" s="78">
        <v>102000</v>
      </c>
    </row>
    <row r="261" spans="1:22" ht="15">
      <c r="A261" s="62" t="s">
        <v>295</v>
      </c>
      <c r="B261" s="111" t="s">
        <v>169</v>
      </c>
      <c r="C261" s="13"/>
      <c r="D261" s="13"/>
      <c r="E261" s="77"/>
      <c r="F261" s="13"/>
      <c r="G261" s="59">
        <f>SUM(G262:G283)</f>
        <v>589500</v>
      </c>
      <c r="H261" s="13"/>
      <c r="I261" s="13"/>
      <c r="J261" s="13"/>
      <c r="K261" s="13"/>
      <c r="L261" s="13"/>
      <c r="M261" s="13"/>
      <c r="N261" s="13"/>
      <c r="O261" s="59">
        <f>SUM(O262:O283)</f>
        <v>600</v>
      </c>
      <c r="P261" s="13"/>
      <c r="Q261" s="13"/>
      <c r="R261" s="13"/>
      <c r="S261" s="59">
        <v>89500</v>
      </c>
      <c r="T261" s="13"/>
      <c r="U261" s="13"/>
      <c r="V261" s="59">
        <v>89500</v>
      </c>
    </row>
    <row r="262" spans="1:22" ht="45">
      <c r="A262" s="103" t="s">
        <v>89</v>
      </c>
      <c r="B262" s="104" t="s">
        <v>296</v>
      </c>
      <c r="C262" s="13"/>
      <c r="D262" s="13"/>
      <c r="E262" s="67"/>
      <c r="F262" s="13"/>
      <c r="G262" s="81">
        <v>40000</v>
      </c>
      <c r="H262" s="13"/>
      <c r="I262" s="13"/>
      <c r="J262" s="13"/>
      <c r="K262" s="13"/>
      <c r="L262" s="13"/>
      <c r="M262" s="13"/>
      <c r="N262" s="13"/>
      <c r="O262" s="74"/>
      <c r="P262" s="13"/>
      <c r="Q262" s="13"/>
      <c r="R262" s="13"/>
      <c r="S262" s="88">
        <v>12000</v>
      </c>
      <c r="T262" s="13"/>
      <c r="U262" s="13"/>
      <c r="V262" s="88">
        <v>12000</v>
      </c>
    </row>
    <row r="263" spans="1:22" ht="45">
      <c r="A263" s="103" t="s">
        <v>91</v>
      </c>
      <c r="B263" s="104" t="s">
        <v>297</v>
      </c>
      <c r="C263" s="13"/>
      <c r="D263" s="13"/>
      <c r="E263" s="67"/>
      <c r="F263" s="13"/>
      <c r="G263" s="81">
        <v>55000</v>
      </c>
      <c r="H263" s="13"/>
      <c r="I263" s="13"/>
      <c r="J263" s="13"/>
      <c r="K263" s="13"/>
      <c r="L263" s="13"/>
      <c r="M263" s="13"/>
      <c r="N263" s="13"/>
      <c r="O263" s="74"/>
      <c r="P263" s="13"/>
      <c r="Q263" s="13"/>
      <c r="R263" s="13"/>
      <c r="S263" s="88">
        <v>16000</v>
      </c>
      <c r="T263" s="13"/>
      <c r="U263" s="13"/>
      <c r="V263" s="88">
        <v>16000</v>
      </c>
    </row>
    <row r="264" spans="1:22" ht="45">
      <c r="A264" s="103" t="s">
        <v>93</v>
      </c>
      <c r="B264" s="104" t="s">
        <v>298</v>
      </c>
      <c r="C264" s="13"/>
      <c r="D264" s="13"/>
      <c r="E264" s="67"/>
      <c r="F264" s="13"/>
      <c r="G264" s="81">
        <v>140000</v>
      </c>
      <c r="H264" s="13"/>
      <c r="I264" s="13"/>
      <c r="J264" s="13"/>
      <c r="K264" s="13"/>
      <c r="L264" s="13"/>
      <c r="M264" s="13"/>
      <c r="N264" s="13"/>
      <c r="O264" s="74"/>
      <c r="P264" s="13"/>
      <c r="Q264" s="13"/>
      <c r="R264" s="13"/>
      <c r="S264" s="88">
        <v>42000</v>
      </c>
      <c r="T264" s="13"/>
      <c r="U264" s="13"/>
      <c r="V264" s="88">
        <v>42000</v>
      </c>
    </row>
    <row r="265" spans="1:22" ht="45">
      <c r="A265" s="103" t="s">
        <v>95</v>
      </c>
      <c r="B265" s="104" t="s">
        <v>299</v>
      </c>
      <c r="C265" s="13"/>
      <c r="D265" s="13"/>
      <c r="E265" s="67"/>
      <c r="F265" s="13"/>
      <c r="G265" s="81">
        <v>20000</v>
      </c>
      <c r="H265" s="13"/>
      <c r="I265" s="13"/>
      <c r="J265" s="13"/>
      <c r="K265" s="13"/>
      <c r="L265" s="13"/>
      <c r="M265" s="13"/>
      <c r="N265" s="13"/>
      <c r="O265" s="74"/>
      <c r="P265" s="13"/>
      <c r="Q265" s="13"/>
      <c r="R265" s="13"/>
      <c r="S265" s="88">
        <v>6000</v>
      </c>
      <c r="T265" s="13"/>
      <c r="U265" s="13"/>
      <c r="V265" s="88">
        <v>6000</v>
      </c>
    </row>
    <row r="266" spans="1:22" ht="45">
      <c r="A266" s="103" t="s">
        <v>97</v>
      </c>
      <c r="B266" s="104" t="s">
        <v>300</v>
      </c>
      <c r="C266" s="13"/>
      <c r="D266" s="13"/>
      <c r="E266" s="67" t="s">
        <v>520</v>
      </c>
      <c r="F266" s="13"/>
      <c r="G266" s="82">
        <v>135000</v>
      </c>
      <c r="H266" s="13"/>
      <c r="I266" s="13"/>
      <c r="J266" s="13"/>
      <c r="K266" s="13"/>
      <c r="L266" s="13"/>
      <c r="M266" s="13"/>
      <c r="N266" s="13"/>
      <c r="O266" s="74"/>
      <c r="P266" s="13"/>
      <c r="Q266" s="13"/>
      <c r="R266" s="13"/>
      <c r="S266" s="88">
        <v>0</v>
      </c>
      <c r="T266" s="13"/>
      <c r="U266" s="13"/>
      <c r="V266" s="88">
        <v>0</v>
      </c>
    </row>
    <row r="267" spans="1:22" ht="45">
      <c r="A267" s="103" t="s">
        <v>99</v>
      </c>
      <c r="B267" s="104" t="s">
        <v>301</v>
      </c>
      <c r="C267" s="13"/>
      <c r="D267" s="13"/>
      <c r="E267" s="67"/>
      <c r="F267" s="13"/>
      <c r="G267" s="81">
        <v>75000</v>
      </c>
      <c r="H267" s="13"/>
      <c r="I267" s="13"/>
      <c r="J267" s="13"/>
      <c r="K267" s="13"/>
      <c r="L267" s="13"/>
      <c r="M267" s="13"/>
      <c r="N267" s="13"/>
      <c r="O267" s="74"/>
      <c r="P267" s="13"/>
      <c r="Q267" s="13"/>
      <c r="R267" s="13"/>
      <c r="S267" s="88">
        <v>0</v>
      </c>
      <c r="T267" s="13"/>
      <c r="U267" s="13"/>
      <c r="V267" s="88">
        <v>0</v>
      </c>
    </row>
    <row r="268" spans="1:22" ht="45">
      <c r="A268" s="103" t="s">
        <v>101</v>
      </c>
      <c r="B268" s="104" t="s">
        <v>302</v>
      </c>
      <c r="C268" s="13"/>
      <c r="D268" s="13"/>
      <c r="E268" s="67"/>
      <c r="F268" s="13"/>
      <c r="G268" s="81">
        <v>115000</v>
      </c>
      <c r="H268" s="13"/>
      <c r="I268" s="13"/>
      <c r="J268" s="13"/>
      <c r="K268" s="13"/>
      <c r="L268" s="13"/>
      <c r="M268" s="13"/>
      <c r="N268" s="13"/>
      <c r="O268" s="74"/>
      <c r="P268" s="13"/>
      <c r="Q268" s="13"/>
      <c r="R268" s="13"/>
      <c r="S268" s="88">
        <v>0</v>
      </c>
      <c r="T268" s="13"/>
      <c r="U268" s="13"/>
      <c r="V268" s="88">
        <v>0</v>
      </c>
    </row>
    <row r="269" spans="1:22" ht="30">
      <c r="A269" s="103" t="s">
        <v>117</v>
      </c>
      <c r="B269" s="104" t="s">
        <v>303</v>
      </c>
      <c r="C269" s="13"/>
      <c r="D269" s="13"/>
      <c r="E269" s="67"/>
      <c r="F269" s="13"/>
      <c r="G269" s="74"/>
      <c r="H269" s="13"/>
      <c r="I269" s="13"/>
      <c r="J269" s="13"/>
      <c r="K269" s="13"/>
      <c r="L269" s="13"/>
      <c r="M269" s="13"/>
      <c r="N269" s="13"/>
      <c r="O269" s="74"/>
      <c r="P269" s="13"/>
      <c r="Q269" s="13"/>
      <c r="R269" s="13"/>
      <c r="S269" s="88">
        <v>0</v>
      </c>
      <c r="T269" s="13"/>
      <c r="U269" s="13"/>
      <c r="V269" s="88">
        <v>0</v>
      </c>
    </row>
    <row r="270" spans="1:22" ht="45">
      <c r="A270" s="103" t="s">
        <v>119</v>
      </c>
      <c r="B270" s="104" t="s">
        <v>304</v>
      </c>
      <c r="C270" s="13"/>
      <c r="D270" s="13"/>
      <c r="E270" s="67"/>
      <c r="F270" s="13"/>
      <c r="G270" s="74"/>
      <c r="H270" s="13"/>
      <c r="I270" s="13"/>
      <c r="J270" s="13"/>
      <c r="K270" s="13"/>
      <c r="L270" s="13"/>
      <c r="M270" s="13"/>
      <c r="N270" s="13"/>
      <c r="O270" s="74"/>
      <c r="P270" s="13"/>
      <c r="Q270" s="13"/>
      <c r="R270" s="13"/>
      <c r="S270" s="88">
        <v>0</v>
      </c>
      <c r="T270" s="13"/>
      <c r="U270" s="13"/>
      <c r="V270" s="88">
        <v>0</v>
      </c>
    </row>
    <row r="271" spans="1:22" ht="30">
      <c r="A271" s="103" t="s">
        <v>121</v>
      </c>
      <c r="B271" s="104" t="s">
        <v>305</v>
      </c>
      <c r="C271" s="13"/>
      <c r="D271" s="13"/>
      <c r="E271" s="67"/>
      <c r="F271" s="13"/>
      <c r="G271" s="74"/>
      <c r="H271" s="13"/>
      <c r="I271" s="13"/>
      <c r="J271" s="13"/>
      <c r="K271" s="13"/>
      <c r="L271" s="13"/>
      <c r="M271" s="13"/>
      <c r="N271" s="13"/>
      <c r="O271" s="74"/>
      <c r="P271" s="13"/>
      <c r="Q271" s="13"/>
      <c r="R271" s="13"/>
      <c r="S271" s="88">
        <v>0</v>
      </c>
      <c r="T271" s="13"/>
      <c r="U271" s="13"/>
      <c r="V271" s="88">
        <v>0</v>
      </c>
    </row>
    <row r="272" spans="1:22" ht="30">
      <c r="A272" s="103" t="s">
        <v>123</v>
      </c>
      <c r="B272" s="104" t="s">
        <v>306</v>
      </c>
      <c r="C272" s="13"/>
      <c r="D272" s="13"/>
      <c r="E272" s="67"/>
      <c r="F272" s="13"/>
      <c r="G272" s="74"/>
      <c r="H272" s="13"/>
      <c r="I272" s="13"/>
      <c r="J272" s="13"/>
      <c r="K272" s="13"/>
      <c r="L272" s="13"/>
      <c r="M272" s="13"/>
      <c r="N272" s="13"/>
      <c r="O272" s="74"/>
      <c r="P272" s="13"/>
      <c r="Q272" s="13"/>
      <c r="R272" s="13"/>
      <c r="S272" s="88">
        <v>0</v>
      </c>
      <c r="T272" s="13"/>
      <c r="U272" s="13"/>
      <c r="V272" s="88">
        <v>0</v>
      </c>
    </row>
    <row r="273" spans="1:22" ht="30">
      <c r="A273" s="103" t="s">
        <v>125</v>
      </c>
      <c r="B273" s="66" t="s">
        <v>307</v>
      </c>
      <c r="C273" s="13"/>
      <c r="D273" s="13"/>
      <c r="E273" s="67"/>
      <c r="F273" s="13"/>
      <c r="G273" s="81"/>
      <c r="H273" s="13"/>
      <c r="I273" s="13"/>
      <c r="J273" s="13"/>
      <c r="K273" s="13"/>
      <c r="L273" s="13"/>
      <c r="M273" s="13"/>
      <c r="N273" s="13"/>
      <c r="O273" s="70">
        <f>12341.997-12341.997</f>
        <v>0</v>
      </c>
      <c r="P273" s="13"/>
      <c r="Q273" s="13"/>
      <c r="R273" s="13"/>
      <c r="S273" s="88">
        <v>0</v>
      </c>
      <c r="T273" s="13"/>
      <c r="U273" s="13"/>
      <c r="V273" s="88">
        <v>0</v>
      </c>
    </row>
    <row r="274" spans="1:22" ht="60">
      <c r="A274" s="103" t="s">
        <v>127</v>
      </c>
      <c r="B274" s="66" t="s">
        <v>308</v>
      </c>
      <c r="C274" s="13"/>
      <c r="D274" s="13"/>
      <c r="E274" s="67"/>
      <c r="F274" s="13"/>
      <c r="G274" s="81"/>
      <c r="H274" s="13"/>
      <c r="I274" s="13"/>
      <c r="J274" s="13"/>
      <c r="K274" s="13"/>
      <c r="L274" s="13"/>
      <c r="M274" s="13"/>
      <c r="N274" s="13"/>
      <c r="O274" s="74"/>
      <c r="P274" s="13"/>
      <c r="Q274" s="13"/>
      <c r="R274" s="13"/>
      <c r="S274" s="88">
        <v>500</v>
      </c>
      <c r="T274" s="13"/>
      <c r="U274" s="13"/>
      <c r="V274" s="88">
        <v>500</v>
      </c>
    </row>
    <row r="275" spans="1:22" ht="30">
      <c r="A275" s="103" t="s">
        <v>129</v>
      </c>
      <c r="B275" s="104" t="s">
        <v>309</v>
      </c>
      <c r="C275" s="13"/>
      <c r="D275" s="13"/>
      <c r="E275" s="77"/>
      <c r="F275" s="13"/>
      <c r="G275" s="81"/>
      <c r="H275" s="13"/>
      <c r="I275" s="13"/>
      <c r="J275" s="13"/>
      <c r="K275" s="13"/>
      <c r="L275" s="13"/>
      <c r="M275" s="13"/>
      <c r="N275" s="13"/>
      <c r="O275" s="74"/>
      <c r="P275" s="13"/>
      <c r="Q275" s="13"/>
      <c r="R275" s="13"/>
      <c r="S275" s="88">
        <v>0</v>
      </c>
      <c r="T275" s="13"/>
      <c r="U275" s="13"/>
      <c r="V275" s="88">
        <v>0</v>
      </c>
    </row>
    <row r="276" spans="1:22" ht="75">
      <c r="A276" s="103" t="s">
        <v>139</v>
      </c>
      <c r="B276" s="114" t="s">
        <v>310</v>
      </c>
      <c r="C276" s="13"/>
      <c r="D276" s="13"/>
      <c r="E276" s="71" t="s">
        <v>77</v>
      </c>
      <c r="F276" s="13"/>
      <c r="G276" s="118">
        <v>9500</v>
      </c>
      <c r="H276" s="13"/>
      <c r="I276" s="13"/>
      <c r="J276" s="13"/>
      <c r="K276" s="13"/>
      <c r="L276" s="13"/>
      <c r="M276" s="13"/>
      <c r="N276" s="13"/>
      <c r="O276" s="74">
        <v>500</v>
      </c>
      <c r="P276" s="13"/>
      <c r="Q276" s="13"/>
      <c r="R276" s="13"/>
      <c r="S276" s="88"/>
      <c r="T276" s="13"/>
      <c r="U276" s="13"/>
      <c r="V276" s="88"/>
    </row>
    <row r="277" spans="1:22" ht="45">
      <c r="A277" s="103" t="s">
        <v>141</v>
      </c>
      <c r="B277" s="90" t="s">
        <v>311</v>
      </c>
      <c r="C277" s="13"/>
      <c r="D277" s="13"/>
      <c r="E277" s="77"/>
      <c r="F277" s="13"/>
      <c r="G277" s="78"/>
      <c r="H277" s="13"/>
      <c r="I277" s="13"/>
      <c r="J277" s="13"/>
      <c r="K277" s="13"/>
      <c r="L277" s="13"/>
      <c r="M277" s="13"/>
      <c r="N277" s="13"/>
      <c r="O277" s="59"/>
      <c r="P277" s="13"/>
      <c r="Q277" s="13"/>
      <c r="R277" s="13"/>
      <c r="S277" s="88">
        <v>0</v>
      </c>
      <c r="T277" s="13"/>
      <c r="U277" s="13"/>
      <c r="V277" s="88">
        <v>0</v>
      </c>
    </row>
    <row r="278" spans="1:22" ht="30">
      <c r="A278" s="103" t="s">
        <v>143</v>
      </c>
      <c r="B278" s="66" t="s">
        <v>312</v>
      </c>
      <c r="C278" s="13"/>
      <c r="D278" s="13"/>
      <c r="E278" s="77"/>
      <c r="F278" s="13"/>
      <c r="G278" s="78"/>
      <c r="H278" s="13"/>
      <c r="I278" s="13"/>
      <c r="J278" s="13"/>
      <c r="K278" s="13"/>
      <c r="L278" s="13"/>
      <c r="M278" s="13"/>
      <c r="N278" s="13"/>
      <c r="O278" s="59"/>
      <c r="P278" s="13"/>
      <c r="Q278" s="13"/>
      <c r="R278" s="13"/>
      <c r="S278" s="88">
        <v>0</v>
      </c>
      <c r="T278" s="13"/>
      <c r="U278" s="13"/>
      <c r="V278" s="88">
        <v>0</v>
      </c>
    </row>
    <row r="279" spans="1:22" ht="150">
      <c r="A279" s="103" t="s">
        <v>145</v>
      </c>
      <c r="B279" s="90" t="s">
        <v>313</v>
      </c>
      <c r="C279" s="13"/>
      <c r="D279" s="13"/>
      <c r="E279" s="77"/>
      <c r="F279" s="13"/>
      <c r="G279" s="81"/>
      <c r="H279" s="13"/>
      <c r="I279" s="13"/>
      <c r="J279" s="13"/>
      <c r="K279" s="13"/>
      <c r="L279" s="13"/>
      <c r="M279" s="13"/>
      <c r="N279" s="13"/>
      <c r="O279" s="74"/>
      <c r="P279" s="13"/>
      <c r="Q279" s="13"/>
      <c r="R279" s="13"/>
      <c r="S279" s="88">
        <v>8000</v>
      </c>
      <c r="T279" s="13"/>
      <c r="U279" s="13"/>
      <c r="V279" s="88">
        <v>8000</v>
      </c>
    </row>
    <row r="280" spans="1:22" ht="30">
      <c r="A280" s="103" t="s">
        <v>147</v>
      </c>
      <c r="B280" s="104" t="s">
        <v>314</v>
      </c>
      <c r="C280" s="13"/>
      <c r="D280" s="13"/>
      <c r="E280" s="77"/>
      <c r="F280" s="13"/>
      <c r="G280" s="81"/>
      <c r="H280" s="13"/>
      <c r="I280" s="13"/>
      <c r="J280" s="13"/>
      <c r="K280" s="13"/>
      <c r="L280" s="13"/>
      <c r="M280" s="13"/>
      <c r="N280" s="13"/>
      <c r="O280" s="74">
        <f>100-50</f>
        <v>50</v>
      </c>
      <c r="P280" s="13"/>
      <c r="Q280" s="13"/>
      <c r="R280" s="13"/>
      <c r="S280" s="88">
        <v>5000</v>
      </c>
      <c r="T280" s="13"/>
      <c r="U280" s="13"/>
      <c r="V280" s="88">
        <v>5000</v>
      </c>
    </row>
    <row r="281" spans="1:22" ht="60">
      <c r="A281" s="103" t="s">
        <v>148</v>
      </c>
      <c r="B281" s="104" t="s">
        <v>315</v>
      </c>
      <c r="C281" s="13"/>
      <c r="D281" s="13"/>
      <c r="E281" s="77"/>
      <c r="F281" s="13"/>
      <c r="G281" s="81"/>
      <c r="H281" s="13"/>
      <c r="I281" s="13"/>
      <c r="J281" s="13"/>
      <c r="K281" s="13"/>
      <c r="L281" s="13"/>
      <c r="M281" s="13"/>
      <c r="N281" s="13"/>
      <c r="O281" s="74"/>
      <c r="P281" s="13"/>
      <c r="Q281" s="13"/>
      <c r="R281" s="13"/>
      <c r="S281" s="88">
        <v>0</v>
      </c>
      <c r="T281" s="13"/>
      <c r="U281" s="13"/>
      <c r="V281" s="88">
        <v>0</v>
      </c>
    </row>
    <row r="282" spans="1:22" ht="45">
      <c r="A282" s="103" t="s">
        <v>150</v>
      </c>
      <c r="B282" s="80" t="s">
        <v>316</v>
      </c>
      <c r="C282" s="13"/>
      <c r="D282" s="13"/>
      <c r="E282" s="67"/>
      <c r="F282" s="13"/>
      <c r="G282" s="82"/>
      <c r="H282" s="13"/>
      <c r="I282" s="13"/>
      <c r="J282" s="13"/>
      <c r="K282" s="13"/>
      <c r="L282" s="13"/>
      <c r="M282" s="13"/>
      <c r="N282" s="13"/>
      <c r="O282" s="74">
        <f>100-50</f>
        <v>50</v>
      </c>
      <c r="P282" s="13"/>
      <c r="Q282" s="13"/>
      <c r="R282" s="13"/>
      <c r="S282" s="88">
        <v>0</v>
      </c>
      <c r="T282" s="13"/>
      <c r="U282" s="13"/>
      <c r="V282" s="88">
        <v>0</v>
      </c>
    </row>
    <row r="283" spans="1:22" ht="30">
      <c r="A283" s="103" t="s">
        <v>152</v>
      </c>
      <c r="B283" s="104" t="s">
        <v>317</v>
      </c>
      <c r="C283" s="13"/>
      <c r="D283" s="13"/>
      <c r="E283" s="77"/>
      <c r="F283" s="13"/>
      <c r="G283" s="81"/>
      <c r="H283" s="13"/>
      <c r="I283" s="13"/>
      <c r="J283" s="13"/>
      <c r="K283" s="13"/>
      <c r="L283" s="13"/>
      <c r="M283" s="13"/>
      <c r="N283" s="13"/>
      <c r="O283" s="74"/>
      <c r="P283" s="13"/>
      <c r="Q283" s="13"/>
      <c r="R283" s="13"/>
      <c r="S283" s="88">
        <v>0</v>
      </c>
      <c r="T283" s="13"/>
      <c r="U283" s="13"/>
      <c r="V283" s="88">
        <v>0</v>
      </c>
    </row>
    <row r="284" spans="1:22" ht="15">
      <c r="A284" s="62" t="s">
        <v>318</v>
      </c>
      <c r="B284" s="111" t="s">
        <v>164</v>
      </c>
      <c r="C284" s="13"/>
      <c r="D284" s="13"/>
      <c r="E284" s="77"/>
      <c r="F284" s="13"/>
      <c r="G284" s="59">
        <f>SUM(G288:G328)</f>
        <v>279797</v>
      </c>
      <c r="H284" s="13"/>
      <c r="I284" s="13"/>
      <c r="J284" s="13"/>
      <c r="K284" s="13"/>
      <c r="L284" s="13"/>
      <c r="M284" s="13"/>
      <c r="N284" s="13"/>
      <c r="O284" s="59">
        <f>SUM(O285:O328)</f>
        <v>100</v>
      </c>
      <c r="P284" s="13"/>
      <c r="Q284" s="13"/>
      <c r="R284" s="13"/>
      <c r="S284" s="59">
        <v>8000</v>
      </c>
      <c r="T284" s="13"/>
      <c r="U284" s="13"/>
      <c r="V284" s="59">
        <v>8000</v>
      </c>
    </row>
    <row r="285" spans="1:22" ht="45">
      <c r="A285" s="103" t="s">
        <v>89</v>
      </c>
      <c r="B285" s="104" t="s">
        <v>319</v>
      </c>
      <c r="C285" s="13"/>
      <c r="D285" s="13"/>
      <c r="E285" s="67"/>
      <c r="F285" s="13"/>
      <c r="G285" s="74"/>
      <c r="H285" s="13"/>
      <c r="I285" s="13"/>
      <c r="J285" s="13"/>
      <c r="K285" s="13"/>
      <c r="L285" s="13"/>
      <c r="M285" s="13"/>
      <c r="N285" s="13"/>
      <c r="O285" s="74"/>
      <c r="P285" s="13"/>
      <c r="Q285" s="13"/>
      <c r="R285" s="13"/>
      <c r="S285" s="74">
        <v>1000</v>
      </c>
      <c r="T285" s="13"/>
      <c r="U285" s="13"/>
      <c r="V285" s="74">
        <v>1000</v>
      </c>
    </row>
    <row r="286" spans="1:22" ht="150">
      <c r="A286" s="103" t="s">
        <v>91</v>
      </c>
      <c r="B286" s="136" t="s">
        <v>320</v>
      </c>
      <c r="C286" s="13"/>
      <c r="D286" s="13"/>
      <c r="E286" s="71" t="s">
        <v>518</v>
      </c>
      <c r="F286" s="13"/>
      <c r="G286" s="87">
        <v>43000</v>
      </c>
      <c r="H286" s="13"/>
      <c r="I286" s="13"/>
      <c r="J286" s="13"/>
      <c r="K286" s="13"/>
      <c r="L286" s="13"/>
      <c r="M286" s="13"/>
      <c r="N286" s="13"/>
      <c r="O286" s="74"/>
      <c r="P286" s="13"/>
      <c r="Q286" s="13"/>
      <c r="R286" s="13"/>
      <c r="S286" s="88">
        <v>7000</v>
      </c>
      <c r="T286" s="13"/>
      <c r="U286" s="13"/>
      <c r="V286" s="88">
        <v>7000</v>
      </c>
    </row>
    <row r="287" spans="1:22" ht="30">
      <c r="A287" s="103" t="s">
        <v>93</v>
      </c>
      <c r="B287" s="85" t="s">
        <v>321</v>
      </c>
      <c r="C287" s="13"/>
      <c r="D287" s="13"/>
      <c r="E287" s="67"/>
      <c r="F287" s="13"/>
      <c r="G287" s="81"/>
      <c r="H287" s="13"/>
      <c r="I287" s="13"/>
      <c r="J287" s="13"/>
      <c r="K287" s="13"/>
      <c r="L287" s="13"/>
      <c r="M287" s="13"/>
      <c r="N287" s="13"/>
      <c r="O287" s="74">
        <f>400-400</f>
        <v>0</v>
      </c>
      <c r="P287" s="13"/>
      <c r="Q287" s="13"/>
      <c r="R287" s="13"/>
      <c r="S287" s="88">
        <v>0</v>
      </c>
      <c r="T287" s="13"/>
      <c r="U287" s="13"/>
      <c r="V287" s="88">
        <v>0</v>
      </c>
    </row>
    <row r="288" spans="1:22" ht="75">
      <c r="A288" s="103" t="s">
        <v>95</v>
      </c>
      <c r="B288" s="90" t="s">
        <v>44</v>
      </c>
      <c r="C288" s="13"/>
      <c r="D288" s="13"/>
      <c r="E288" s="67"/>
      <c r="F288" s="13"/>
      <c r="G288" s="81">
        <v>79797</v>
      </c>
      <c r="H288" s="13"/>
      <c r="I288" s="13"/>
      <c r="J288" s="13"/>
      <c r="K288" s="13"/>
      <c r="L288" s="13"/>
      <c r="M288" s="13"/>
      <c r="N288" s="13"/>
      <c r="O288" s="74"/>
      <c r="P288" s="13"/>
      <c r="Q288" s="13"/>
      <c r="R288" s="13"/>
      <c r="S288" s="74">
        <v>0</v>
      </c>
      <c r="T288" s="13"/>
      <c r="U288" s="13"/>
      <c r="V288" s="74">
        <v>0</v>
      </c>
    </row>
    <row r="289" spans="1:22" ht="105">
      <c r="A289" s="103" t="s">
        <v>97</v>
      </c>
      <c r="B289" s="66" t="s">
        <v>45</v>
      </c>
      <c r="C289" s="13"/>
      <c r="D289" s="13"/>
      <c r="E289" s="71" t="s">
        <v>520</v>
      </c>
      <c r="F289" s="13"/>
      <c r="G289" s="87">
        <v>200000</v>
      </c>
      <c r="H289" s="13"/>
      <c r="I289" s="13"/>
      <c r="J289" s="13"/>
      <c r="K289" s="13"/>
      <c r="L289" s="13"/>
      <c r="M289" s="13"/>
      <c r="N289" s="13"/>
      <c r="O289" s="74"/>
      <c r="P289" s="13"/>
      <c r="Q289" s="13"/>
      <c r="R289" s="13"/>
      <c r="S289" s="74">
        <v>0</v>
      </c>
      <c r="T289" s="13"/>
      <c r="U289" s="13"/>
      <c r="V289" s="74">
        <v>0</v>
      </c>
    </row>
    <row r="290" spans="1:22" ht="30">
      <c r="A290" s="103" t="s">
        <v>99</v>
      </c>
      <c r="B290" s="66" t="s">
        <v>322</v>
      </c>
      <c r="C290" s="13"/>
      <c r="D290" s="13"/>
      <c r="E290" s="71"/>
      <c r="F290" s="13"/>
      <c r="G290" s="87"/>
      <c r="H290" s="13"/>
      <c r="I290" s="13"/>
      <c r="J290" s="13"/>
      <c r="K290" s="13"/>
      <c r="L290" s="13"/>
      <c r="M290" s="13"/>
      <c r="N290" s="13"/>
      <c r="O290" s="74"/>
      <c r="P290" s="13"/>
      <c r="Q290" s="13"/>
      <c r="R290" s="13"/>
      <c r="S290" s="88">
        <v>0</v>
      </c>
      <c r="T290" s="13"/>
      <c r="U290" s="13"/>
      <c r="V290" s="88">
        <v>0</v>
      </c>
    </row>
    <row r="291" spans="1:22" ht="75">
      <c r="A291" s="103" t="s">
        <v>101</v>
      </c>
      <c r="B291" s="90" t="s">
        <v>323</v>
      </c>
      <c r="C291" s="13"/>
      <c r="D291" s="13"/>
      <c r="E291" s="67"/>
      <c r="F291" s="13"/>
      <c r="G291" s="81"/>
      <c r="H291" s="13"/>
      <c r="I291" s="13"/>
      <c r="J291" s="13"/>
      <c r="K291" s="13"/>
      <c r="L291" s="13"/>
      <c r="M291" s="13"/>
      <c r="N291" s="13"/>
      <c r="O291" s="74"/>
      <c r="P291" s="13"/>
      <c r="Q291" s="13"/>
      <c r="R291" s="13"/>
      <c r="S291" s="88">
        <v>0</v>
      </c>
      <c r="T291" s="13"/>
      <c r="U291" s="13"/>
      <c r="V291" s="88">
        <v>0</v>
      </c>
    </row>
    <row r="292" spans="1:22" ht="60">
      <c r="A292" s="103" t="s">
        <v>117</v>
      </c>
      <c r="B292" s="140" t="s">
        <v>324</v>
      </c>
      <c r="C292" s="13"/>
      <c r="D292" s="13"/>
      <c r="E292" s="71"/>
      <c r="F292" s="13"/>
      <c r="G292" s="87"/>
      <c r="H292" s="13"/>
      <c r="I292" s="13"/>
      <c r="J292" s="13"/>
      <c r="K292" s="13"/>
      <c r="L292" s="13"/>
      <c r="M292" s="13"/>
      <c r="N292" s="13"/>
      <c r="O292" s="74">
        <f>200-200</f>
        <v>0</v>
      </c>
      <c r="P292" s="13"/>
      <c r="Q292" s="13"/>
      <c r="R292" s="13"/>
      <c r="S292" s="88">
        <v>0</v>
      </c>
      <c r="T292" s="13"/>
      <c r="U292" s="13"/>
      <c r="V292" s="88">
        <v>0</v>
      </c>
    </row>
    <row r="293" spans="1:22" ht="30">
      <c r="A293" s="103" t="s">
        <v>119</v>
      </c>
      <c r="B293" s="105" t="s">
        <v>325</v>
      </c>
      <c r="C293" s="13"/>
      <c r="D293" s="13"/>
      <c r="E293" s="67"/>
      <c r="F293" s="13"/>
      <c r="G293" s="81"/>
      <c r="H293" s="13"/>
      <c r="I293" s="13"/>
      <c r="J293" s="13"/>
      <c r="K293" s="13"/>
      <c r="L293" s="13"/>
      <c r="M293" s="13"/>
      <c r="N293" s="13"/>
      <c r="O293" s="74">
        <f>400-400</f>
        <v>0</v>
      </c>
      <c r="P293" s="13"/>
      <c r="Q293" s="13"/>
      <c r="R293" s="13"/>
      <c r="S293" s="88">
        <v>0</v>
      </c>
      <c r="T293" s="13"/>
      <c r="U293" s="13"/>
      <c r="V293" s="88">
        <v>0</v>
      </c>
    </row>
    <row r="294" spans="1:22" ht="30">
      <c r="A294" s="103" t="s">
        <v>121</v>
      </c>
      <c r="B294" s="105" t="s">
        <v>326</v>
      </c>
      <c r="C294" s="13"/>
      <c r="D294" s="13"/>
      <c r="E294" s="67"/>
      <c r="F294" s="13"/>
      <c r="G294" s="81"/>
      <c r="H294" s="13"/>
      <c r="I294" s="13"/>
      <c r="J294" s="13"/>
      <c r="K294" s="13"/>
      <c r="L294" s="13"/>
      <c r="M294" s="13"/>
      <c r="N294" s="13"/>
      <c r="O294" s="74">
        <f>500-500</f>
        <v>0</v>
      </c>
      <c r="P294" s="13"/>
      <c r="Q294" s="13"/>
      <c r="R294" s="13"/>
      <c r="S294" s="88">
        <v>0</v>
      </c>
      <c r="T294" s="13"/>
      <c r="U294" s="13"/>
      <c r="V294" s="88">
        <v>0</v>
      </c>
    </row>
    <row r="295" spans="1:22" ht="45">
      <c r="A295" s="103" t="s">
        <v>123</v>
      </c>
      <c r="B295" s="136" t="s">
        <v>327</v>
      </c>
      <c r="C295" s="13"/>
      <c r="D295" s="13"/>
      <c r="E295" s="71"/>
      <c r="F295" s="13"/>
      <c r="G295" s="87"/>
      <c r="H295" s="13"/>
      <c r="I295" s="13"/>
      <c r="J295" s="13"/>
      <c r="K295" s="13"/>
      <c r="L295" s="13"/>
      <c r="M295" s="13"/>
      <c r="N295" s="13"/>
      <c r="O295" s="74"/>
      <c r="P295" s="13"/>
      <c r="Q295" s="13"/>
      <c r="R295" s="13"/>
      <c r="S295" s="88">
        <v>0</v>
      </c>
      <c r="T295" s="13"/>
      <c r="U295" s="13"/>
      <c r="V295" s="88">
        <v>0</v>
      </c>
    </row>
    <row r="296" spans="1:22" ht="60">
      <c r="A296" s="103" t="s">
        <v>125</v>
      </c>
      <c r="B296" s="136" t="s">
        <v>559</v>
      </c>
      <c r="C296" s="13"/>
      <c r="D296" s="13"/>
      <c r="E296" s="71"/>
      <c r="F296" s="13"/>
      <c r="G296" s="87"/>
      <c r="H296" s="13"/>
      <c r="I296" s="13"/>
      <c r="J296" s="13"/>
      <c r="K296" s="13"/>
      <c r="L296" s="13"/>
      <c r="M296" s="13"/>
      <c r="N296" s="13"/>
      <c r="O296" s="74"/>
      <c r="P296" s="13"/>
      <c r="Q296" s="13"/>
      <c r="R296" s="13"/>
      <c r="S296" s="88">
        <v>0</v>
      </c>
      <c r="T296" s="13"/>
      <c r="U296" s="13"/>
      <c r="V296" s="88">
        <v>0</v>
      </c>
    </row>
    <row r="297" spans="1:22" ht="45">
      <c r="A297" s="103" t="s">
        <v>127</v>
      </c>
      <c r="B297" s="66" t="s">
        <v>328</v>
      </c>
      <c r="C297" s="13"/>
      <c r="D297" s="13"/>
      <c r="E297" s="71"/>
      <c r="F297" s="13"/>
      <c r="G297" s="87"/>
      <c r="H297" s="13"/>
      <c r="I297" s="13"/>
      <c r="J297" s="13"/>
      <c r="K297" s="13"/>
      <c r="L297" s="13"/>
      <c r="M297" s="13"/>
      <c r="N297" s="13"/>
      <c r="O297" s="74"/>
      <c r="P297" s="13"/>
      <c r="Q297" s="13"/>
      <c r="R297" s="13"/>
      <c r="S297" s="88">
        <v>0</v>
      </c>
      <c r="T297" s="13"/>
      <c r="U297" s="13"/>
      <c r="V297" s="88">
        <v>0</v>
      </c>
    </row>
    <row r="298" spans="1:22" ht="75">
      <c r="A298" s="103" t="s">
        <v>129</v>
      </c>
      <c r="B298" s="66" t="s">
        <v>329</v>
      </c>
      <c r="C298" s="13"/>
      <c r="D298" s="13"/>
      <c r="E298" s="71"/>
      <c r="F298" s="13"/>
      <c r="G298" s="87"/>
      <c r="H298" s="13"/>
      <c r="I298" s="13"/>
      <c r="J298" s="13"/>
      <c r="K298" s="13"/>
      <c r="L298" s="13"/>
      <c r="M298" s="13"/>
      <c r="N298" s="13"/>
      <c r="O298" s="74"/>
      <c r="P298" s="13"/>
      <c r="Q298" s="13"/>
      <c r="R298" s="13"/>
      <c r="S298" s="88">
        <v>0</v>
      </c>
      <c r="T298" s="13"/>
      <c r="U298" s="13"/>
      <c r="V298" s="88">
        <v>0</v>
      </c>
    </row>
    <row r="299" spans="1:22" ht="30">
      <c r="A299" s="103" t="s">
        <v>139</v>
      </c>
      <c r="B299" s="66" t="s">
        <v>330</v>
      </c>
      <c r="C299" s="13"/>
      <c r="D299" s="13"/>
      <c r="E299" s="71"/>
      <c r="F299" s="13"/>
      <c r="G299" s="87"/>
      <c r="H299" s="13"/>
      <c r="I299" s="13"/>
      <c r="J299" s="13"/>
      <c r="K299" s="13"/>
      <c r="L299" s="13"/>
      <c r="M299" s="13"/>
      <c r="N299" s="13"/>
      <c r="O299" s="74"/>
      <c r="P299" s="13"/>
      <c r="Q299" s="13"/>
      <c r="R299" s="13"/>
      <c r="S299" s="88">
        <v>0</v>
      </c>
      <c r="T299" s="13"/>
      <c r="U299" s="13"/>
      <c r="V299" s="88">
        <v>0</v>
      </c>
    </row>
    <row r="300" spans="1:22" ht="75">
      <c r="A300" s="103" t="s">
        <v>141</v>
      </c>
      <c r="B300" s="66" t="s">
        <v>331</v>
      </c>
      <c r="C300" s="13"/>
      <c r="D300" s="13"/>
      <c r="E300" s="71"/>
      <c r="F300" s="13"/>
      <c r="G300" s="87"/>
      <c r="H300" s="13"/>
      <c r="I300" s="13"/>
      <c r="J300" s="13"/>
      <c r="K300" s="13"/>
      <c r="L300" s="13"/>
      <c r="M300" s="13"/>
      <c r="N300" s="13"/>
      <c r="O300" s="74"/>
      <c r="P300" s="13"/>
      <c r="Q300" s="13"/>
      <c r="R300" s="13"/>
      <c r="S300" s="88">
        <v>0</v>
      </c>
      <c r="T300" s="13"/>
      <c r="U300" s="13"/>
      <c r="V300" s="88">
        <v>0</v>
      </c>
    </row>
    <row r="301" spans="1:22" ht="30">
      <c r="A301" s="103" t="s">
        <v>143</v>
      </c>
      <c r="B301" s="66" t="s">
        <v>332</v>
      </c>
      <c r="C301" s="13"/>
      <c r="D301" s="13"/>
      <c r="E301" s="67"/>
      <c r="F301" s="13"/>
      <c r="G301" s="81"/>
      <c r="H301" s="13"/>
      <c r="I301" s="13"/>
      <c r="J301" s="13"/>
      <c r="K301" s="13"/>
      <c r="L301" s="13"/>
      <c r="M301" s="13"/>
      <c r="N301" s="13"/>
      <c r="O301" s="74">
        <f>200-200</f>
        <v>0</v>
      </c>
      <c r="P301" s="13"/>
      <c r="Q301" s="13"/>
      <c r="R301" s="13"/>
      <c r="S301" s="88">
        <v>0</v>
      </c>
      <c r="T301" s="13"/>
      <c r="U301" s="13"/>
      <c r="V301" s="88">
        <v>0</v>
      </c>
    </row>
    <row r="302" spans="1:22" ht="45">
      <c r="A302" s="103" t="s">
        <v>145</v>
      </c>
      <c r="B302" s="85" t="s">
        <v>333</v>
      </c>
      <c r="C302" s="13"/>
      <c r="D302" s="13"/>
      <c r="E302" s="67"/>
      <c r="F302" s="13"/>
      <c r="G302" s="81"/>
      <c r="H302" s="13"/>
      <c r="I302" s="13"/>
      <c r="J302" s="13"/>
      <c r="K302" s="13"/>
      <c r="L302" s="13"/>
      <c r="M302" s="13"/>
      <c r="N302" s="13"/>
      <c r="O302" s="74">
        <f>300-300</f>
        <v>0</v>
      </c>
      <c r="P302" s="13"/>
      <c r="Q302" s="13"/>
      <c r="R302" s="13"/>
      <c r="S302" s="88">
        <v>0</v>
      </c>
      <c r="T302" s="13"/>
      <c r="U302" s="13"/>
      <c r="V302" s="88">
        <v>0</v>
      </c>
    </row>
    <row r="303" spans="1:22" ht="45">
      <c r="A303" s="103" t="s">
        <v>147</v>
      </c>
      <c r="B303" s="105" t="s">
        <v>334</v>
      </c>
      <c r="C303" s="13"/>
      <c r="D303" s="13"/>
      <c r="E303" s="67"/>
      <c r="F303" s="13"/>
      <c r="G303" s="81"/>
      <c r="H303" s="13"/>
      <c r="I303" s="13"/>
      <c r="J303" s="13"/>
      <c r="K303" s="13"/>
      <c r="L303" s="13"/>
      <c r="M303" s="13"/>
      <c r="N303" s="13"/>
      <c r="O303" s="74">
        <f>500-450-50</f>
        <v>0</v>
      </c>
      <c r="P303" s="13"/>
      <c r="Q303" s="13"/>
      <c r="R303" s="13"/>
      <c r="S303" s="88">
        <v>0</v>
      </c>
      <c r="T303" s="13"/>
      <c r="U303" s="13"/>
      <c r="V303" s="88">
        <v>0</v>
      </c>
    </row>
    <row r="304" spans="1:22" ht="60">
      <c r="A304" s="103" t="s">
        <v>148</v>
      </c>
      <c r="B304" s="85" t="s">
        <v>335</v>
      </c>
      <c r="C304" s="13"/>
      <c r="D304" s="13"/>
      <c r="E304" s="67"/>
      <c r="F304" s="13"/>
      <c r="G304" s="81"/>
      <c r="H304" s="13"/>
      <c r="I304" s="13"/>
      <c r="J304" s="13"/>
      <c r="K304" s="13"/>
      <c r="L304" s="13"/>
      <c r="M304" s="13"/>
      <c r="N304" s="13"/>
      <c r="O304" s="74">
        <f>200-100</f>
        <v>100</v>
      </c>
      <c r="P304" s="13"/>
      <c r="Q304" s="13"/>
      <c r="R304" s="13"/>
      <c r="S304" s="88">
        <v>0</v>
      </c>
      <c r="T304" s="13"/>
      <c r="U304" s="13"/>
      <c r="V304" s="88">
        <v>0</v>
      </c>
    </row>
    <row r="305" spans="1:22" ht="75">
      <c r="A305" s="103" t="s">
        <v>150</v>
      </c>
      <c r="B305" s="116" t="s">
        <v>336</v>
      </c>
      <c r="C305" s="13"/>
      <c r="D305" s="13"/>
      <c r="E305" s="71"/>
      <c r="F305" s="13"/>
      <c r="G305" s="87"/>
      <c r="H305" s="13"/>
      <c r="I305" s="13"/>
      <c r="J305" s="13"/>
      <c r="K305" s="13"/>
      <c r="L305" s="13"/>
      <c r="M305" s="13"/>
      <c r="N305" s="13"/>
      <c r="O305" s="74"/>
      <c r="P305" s="13"/>
      <c r="Q305" s="13"/>
      <c r="R305" s="13"/>
      <c r="S305" s="88">
        <v>0</v>
      </c>
      <c r="T305" s="13"/>
      <c r="U305" s="13"/>
      <c r="V305" s="88">
        <v>0</v>
      </c>
    </row>
    <row r="306" spans="1:22" ht="60">
      <c r="A306" s="103" t="s">
        <v>152</v>
      </c>
      <c r="B306" s="116" t="s">
        <v>337</v>
      </c>
      <c r="C306" s="13"/>
      <c r="D306" s="13"/>
      <c r="E306" s="71"/>
      <c r="F306" s="13"/>
      <c r="G306" s="87"/>
      <c r="H306" s="13"/>
      <c r="I306" s="13"/>
      <c r="J306" s="13"/>
      <c r="K306" s="13"/>
      <c r="L306" s="13"/>
      <c r="M306" s="13"/>
      <c r="N306" s="13"/>
      <c r="O306" s="74"/>
      <c r="P306" s="13"/>
      <c r="Q306" s="13"/>
      <c r="R306" s="13"/>
      <c r="S306" s="88"/>
      <c r="T306" s="13"/>
      <c r="U306" s="13"/>
      <c r="V306" s="88"/>
    </row>
    <row r="307" spans="1:22" ht="45">
      <c r="A307" s="103" t="s">
        <v>338</v>
      </c>
      <c r="B307" s="116" t="s">
        <v>339</v>
      </c>
      <c r="C307" s="13"/>
      <c r="D307" s="13"/>
      <c r="E307" s="71"/>
      <c r="F307" s="13"/>
      <c r="G307" s="87"/>
      <c r="H307" s="13"/>
      <c r="I307" s="13"/>
      <c r="J307" s="13"/>
      <c r="K307" s="13"/>
      <c r="L307" s="13"/>
      <c r="M307" s="13"/>
      <c r="N307" s="13"/>
      <c r="O307" s="74"/>
      <c r="P307" s="13"/>
      <c r="Q307" s="13"/>
      <c r="R307" s="13"/>
      <c r="S307" s="88"/>
      <c r="T307" s="13"/>
      <c r="U307" s="13"/>
      <c r="V307" s="88"/>
    </row>
    <row r="308" spans="1:22" ht="45">
      <c r="A308" s="103" t="s">
        <v>340</v>
      </c>
      <c r="B308" s="116" t="s">
        <v>341</v>
      </c>
      <c r="C308" s="13"/>
      <c r="D308" s="13"/>
      <c r="E308" s="71"/>
      <c r="F308" s="13"/>
      <c r="G308" s="87"/>
      <c r="H308" s="13"/>
      <c r="I308" s="13"/>
      <c r="J308" s="13"/>
      <c r="K308" s="13"/>
      <c r="L308" s="13"/>
      <c r="M308" s="13"/>
      <c r="N308" s="13"/>
      <c r="O308" s="74"/>
      <c r="P308" s="13"/>
      <c r="Q308" s="13"/>
      <c r="R308" s="13"/>
      <c r="S308" s="88"/>
      <c r="T308" s="13"/>
      <c r="U308" s="13"/>
      <c r="V308" s="88"/>
    </row>
    <row r="309" spans="1:22" ht="45">
      <c r="A309" s="103" t="s">
        <v>342</v>
      </c>
      <c r="B309" s="116" t="s">
        <v>343</v>
      </c>
      <c r="C309" s="13"/>
      <c r="D309" s="13"/>
      <c r="E309" s="71"/>
      <c r="F309" s="13"/>
      <c r="G309" s="87"/>
      <c r="H309" s="13"/>
      <c r="I309" s="13"/>
      <c r="J309" s="13"/>
      <c r="K309" s="13"/>
      <c r="L309" s="13"/>
      <c r="M309" s="13"/>
      <c r="N309" s="13"/>
      <c r="O309" s="74"/>
      <c r="P309" s="13"/>
      <c r="Q309" s="13"/>
      <c r="R309" s="13"/>
      <c r="S309" s="88"/>
      <c r="T309" s="13"/>
      <c r="U309" s="13"/>
      <c r="V309" s="88"/>
    </row>
    <row r="310" spans="1:22" ht="45">
      <c r="A310" s="103" t="s">
        <v>344</v>
      </c>
      <c r="B310" s="116" t="s">
        <v>345</v>
      </c>
      <c r="C310" s="13"/>
      <c r="D310" s="13"/>
      <c r="E310" s="71"/>
      <c r="F310" s="13"/>
      <c r="G310" s="87"/>
      <c r="H310" s="13"/>
      <c r="I310" s="13"/>
      <c r="J310" s="13"/>
      <c r="K310" s="13"/>
      <c r="L310" s="13"/>
      <c r="M310" s="13"/>
      <c r="N310" s="13"/>
      <c r="O310" s="74"/>
      <c r="P310" s="13"/>
      <c r="Q310" s="13"/>
      <c r="R310" s="13"/>
      <c r="S310" s="88"/>
      <c r="T310" s="13"/>
      <c r="U310" s="13"/>
      <c r="V310" s="88"/>
    </row>
    <row r="311" spans="1:22" ht="75">
      <c r="A311" s="103" t="s">
        <v>346</v>
      </c>
      <c r="B311" s="116" t="s">
        <v>347</v>
      </c>
      <c r="C311" s="13"/>
      <c r="D311" s="13"/>
      <c r="E311" s="71"/>
      <c r="F311" s="13"/>
      <c r="G311" s="87"/>
      <c r="H311" s="13"/>
      <c r="I311" s="13"/>
      <c r="J311" s="13"/>
      <c r="K311" s="13"/>
      <c r="L311" s="13"/>
      <c r="M311" s="13"/>
      <c r="N311" s="13"/>
      <c r="O311" s="74"/>
      <c r="P311" s="13"/>
      <c r="Q311" s="13"/>
      <c r="R311" s="13"/>
      <c r="S311" s="88">
        <v>0</v>
      </c>
      <c r="T311" s="13"/>
      <c r="U311" s="13"/>
      <c r="V311" s="88">
        <v>0</v>
      </c>
    </row>
    <row r="312" spans="1:22" ht="45">
      <c r="A312" s="103" t="s">
        <v>348</v>
      </c>
      <c r="B312" s="116" t="s">
        <v>349</v>
      </c>
      <c r="C312" s="13"/>
      <c r="D312" s="13"/>
      <c r="E312" s="71"/>
      <c r="F312" s="13"/>
      <c r="G312" s="87"/>
      <c r="H312" s="13"/>
      <c r="I312" s="13"/>
      <c r="J312" s="13"/>
      <c r="K312" s="13"/>
      <c r="L312" s="13"/>
      <c r="M312" s="13"/>
      <c r="N312" s="13"/>
      <c r="O312" s="74"/>
      <c r="P312" s="13"/>
      <c r="Q312" s="13"/>
      <c r="R312" s="13"/>
      <c r="S312" s="88"/>
      <c r="T312" s="13"/>
      <c r="U312" s="13"/>
      <c r="V312" s="88"/>
    </row>
    <row r="313" spans="1:22" ht="30">
      <c r="A313" s="103" t="s">
        <v>350</v>
      </c>
      <c r="B313" s="116" t="s">
        <v>351</v>
      </c>
      <c r="C313" s="13"/>
      <c r="D313" s="13"/>
      <c r="E313" s="71"/>
      <c r="F313" s="13"/>
      <c r="G313" s="87"/>
      <c r="H313" s="13"/>
      <c r="I313" s="13"/>
      <c r="J313" s="13"/>
      <c r="K313" s="13"/>
      <c r="L313" s="13"/>
      <c r="M313" s="13"/>
      <c r="N313" s="13"/>
      <c r="O313" s="74"/>
      <c r="P313" s="13"/>
      <c r="Q313" s="13"/>
      <c r="R313" s="13"/>
      <c r="S313" s="88"/>
      <c r="T313" s="13"/>
      <c r="U313" s="13"/>
      <c r="V313" s="88"/>
    </row>
    <row r="314" spans="1:22" ht="75">
      <c r="A314" s="103" t="s">
        <v>352</v>
      </c>
      <c r="B314" s="116" t="s">
        <v>353</v>
      </c>
      <c r="C314" s="13"/>
      <c r="D314" s="13"/>
      <c r="E314" s="71"/>
      <c r="F314" s="13"/>
      <c r="G314" s="87"/>
      <c r="H314" s="13"/>
      <c r="I314" s="13"/>
      <c r="J314" s="13"/>
      <c r="K314" s="13"/>
      <c r="L314" s="13"/>
      <c r="M314" s="13"/>
      <c r="N314" s="13"/>
      <c r="O314" s="74"/>
      <c r="P314" s="13"/>
      <c r="Q314" s="13"/>
      <c r="R314" s="13"/>
      <c r="S314" s="88"/>
      <c r="T314" s="13"/>
      <c r="U314" s="13"/>
      <c r="V314" s="88"/>
    </row>
    <row r="315" spans="1:22" ht="30">
      <c r="A315" s="103" t="s">
        <v>354</v>
      </c>
      <c r="B315" s="83" t="s">
        <v>355</v>
      </c>
      <c r="C315" s="13"/>
      <c r="D315" s="13"/>
      <c r="E315" s="67"/>
      <c r="F315" s="13"/>
      <c r="G315" s="81"/>
      <c r="H315" s="13"/>
      <c r="I315" s="13"/>
      <c r="J315" s="13"/>
      <c r="K315" s="13"/>
      <c r="L315" s="13"/>
      <c r="M315" s="13"/>
      <c r="N315" s="13"/>
      <c r="O315" s="74"/>
      <c r="P315" s="13"/>
      <c r="Q315" s="13"/>
      <c r="R315" s="13"/>
      <c r="S315" s="88">
        <v>0</v>
      </c>
      <c r="T315" s="13"/>
      <c r="U315" s="13"/>
      <c r="V315" s="88">
        <v>0</v>
      </c>
    </row>
    <row r="316" spans="1:22" ht="45">
      <c r="A316" s="103" t="s">
        <v>356</v>
      </c>
      <c r="B316" s="83" t="s">
        <v>357</v>
      </c>
      <c r="C316" s="13"/>
      <c r="D316" s="13"/>
      <c r="E316" s="67"/>
      <c r="F316" s="13"/>
      <c r="G316" s="81"/>
      <c r="H316" s="13"/>
      <c r="I316" s="13"/>
      <c r="J316" s="13"/>
      <c r="K316" s="13"/>
      <c r="L316" s="13"/>
      <c r="M316" s="13"/>
      <c r="N316" s="13"/>
      <c r="O316" s="74"/>
      <c r="P316" s="13"/>
      <c r="Q316" s="13"/>
      <c r="R316" s="13"/>
      <c r="S316" s="88">
        <v>0</v>
      </c>
      <c r="T316" s="13"/>
      <c r="U316" s="13"/>
      <c r="V316" s="88">
        <v>0</v>
      </c>
    </row>
    <row r="317" spans="1:22" ht="60">
      <c r="A317" s="103" t="s">
        <v>358</v>
      </c>
      <c r="B317" s="83" t="s">
        <v>359</v>
      </c>
      <c r="C317" s="13"/>
      <c r="D317" s="13"/>
      <c r="E317" s="67"/>
      <c r="F317" s="13"/>
      <c r="G317" s="81"/>
      <c r="H317" s="13"/>
      <c r="I317" s="13"/>
      <c r="J317" s="13"/>
      <c r="K317" s="13"/>
      <c r="L317" s="13"/>
      <c r="M317" s="13"/>
      <c r="N317" s="13"/>
      <c r="O317" s="74"/>
      <c r="P317" s="13"/>
      <c r="Q317" s="13"/>
      <c r="R317" s="13"/>
      <c r="S317" s="88">
        <v>0</v>
      </c>
      <c r="T317" s="13"/>
      <c r="U317" s="13"/>
      <c r="V317" s="88">
        <v>0</v>
      </c>
    </row>
    <row r="318" spans="1:22" ht="60">
      <c r="A318" s="103" t="s">
        <v>360</v>
      </c>
      <c r="B318" s="83" t="s">
        <v>361</v>
      </c>
      <c r="C318" s="13"/>
      <c r="D318" s="13"/>
      <c r="E318" s="67"/>
      <c r="F318" s="13"/>
      <c r="G318" s="81"/>
      <c r="H318" s="13"/>
      <c r="I318" s="13"/>
      <c r="J318" s="13"/>
      <c r="K318" s="13"/>
      <c r="L318" s="13"/>
      <c r="M318" s="13"/>
      <c r="N318" s="13"/>
      <c r="O318" s="74"/>
      <c r="P318" s="13"/>
      <c r="Q318" s="13"/>
      <c r="R318" s="13"/>
      <c r="S318" s="88">
        <v>0</v>
      </c>
      <c r="T318" s="13"/>
      <c r="U318" s="13"/>
      <c r="V318" s="88">
        <v>0</v>
      </c>
    </row>
    <row r="319" spans="1:22" ht="30">
      <c r="A319" s="103" t="s">
        <v>362</v>
      </c>
      <c r="B319" s="83" t="s">
        <v>363</v>
      </c>
      <c r="C319" s="13"/>
      <c r="D319" s="13"/>
      <c r="E319" s="67"/>
      <c r="F319" s="13"/>
      <c r="G319" s="81"/>
      <c r="H319" s="13"/>
      <c r="I319" s="13"/>
      <c r="J319" s="13"/>
      <c r="K319" s="13"/>
      <c r="L319" s="13"/>
      <c r="M319" s="13"/>
      <c r="N319" s="13"/>
      <c r="O319" s="74"/>
      <c r="P319" s="13"/>
      <c r="Q319" s="13"/>
      <c r="R319" s="13"/>
      <c r="S319" s="88">
        <v>0</v>
      </c>
      <c r="T319" s="13"/>
      <c r="U319" s="13"/>
      <c r="V319" s="88">
        <v>0</v>
      </c>
    </row>
    <row r="320" spans="1:22" ht="75">
      <c r="A320" s="103" t="s">
        <v>364</v>
      </c>
      <c r="B320" s="66" t="s">
        <v>365</v>
      </c>
      <c r="C320" s="13"/>
      <c r="D320" s="13"/>
      <c r="E320" s="71"/>
      <c r="F320" s="13"/>
      <c r="G320" s="87"/>
      <c r="H320" s="13"/>
      <c r="I320" s="13"/>
      <c r="J320" s="13"/>
      <c r="K320" s="13"/>
      <c r="L320" s="13"/>
      <c r="M320" s="13"/>
      <c r="N320" s="13"/>
      <c r="O320" s="74"/>
      <c r="P320" s="13"/>
      <c r="Q320" s="13"/>
      <c r="R320" s="13"/>
      <c r="S320" s="88">
        <v>0</v>
      </c>
      <c r="T320" s="13"/>
      <c r="U320" s="13"/>
      <c r="V320" s="88">
        <v>0</v>
      </c>
    </row>
    <row r="321" spans="1:22" ht="75">
      <c r="A321" s="103" t="s">
        <v>366</v>
      </c>
      <c r="B321" s="66" t="s">
        <v>367</v>
      </c>
      <c r="C321" s="13"/>
      <c r="D321" s="13"/>
      <c r="E321" s="71"/>
      <c r="F321" s="13"/>
      <c r="G321" s="87"/>
      <c r="H321" s="13"/>
      <c r="I321" s="13"/>
      <c r="J321" s="13"/>
      <c r="K321" s="13"/>
      <c r="L321" s="13"/>
      <c r="M321" s="13"/>
      <c r="N321" s="13"/>
      <c r="O321" s="74"/>
      <c r="P321" s="13"/>
      <c r="Q321" s="13"/>
      <c r="R321" s="13"/>
      <c r="S321" s="88">
        <v>0</v>
      </c>
      <c r="T321" s="13"/>
      <c r="U321" s="13"/>
      <c r="V321" s="88">
        <v>0</v>
      </c>
    </row>
    <row r="322" spans="1:22" ht="75">
      <c r="A322" s="103" t="s">
        <v>368</v>
      </c>
      <c r="B322" s="66" t="s">
        <v>369</v>
      </c>
      <c r="C322" s="13"/>
      <c r="D322" s="13"/>
      <c r="E322" s="71"/>
      <c r="F322" s="13"/>
      <c r="G322" s="87"/>
      <c r="H322" s="13"/>
      <c r="I322" s="13"/>
      <c r="J322" s="13"/>
      <c r="K322" s="13"/>
      <c r="L322" s="13"/>
      <c r="M322" s="13"/>
      <c r="N322" s="13"/>
      <c r="O322" s="74"/>
      <c r="P322" s="13"/>
      <c r="Q322" s="13"/>
      <c r="R322" s="13"/>
      <c r="S322" s="88">
        <v>0</v>
      </c>
      <c r="T322" s="13"/>
      <c r="U322" s="13"/>
      <c r="V322" s="88">
        <v>0</v>
      </c>
    </row>
    <row r="323" spans="1:22" ht="75">
      <c r="A323" s="103" t="s">
        <v>370</v>
      </c>
      <c r="B323" s="66" t="s">
        <v>371</v>
      </c>
      <c r="C323" s="13"/>
      <c r="D323" s="13"/>
      <c r="E323" s="71"/>
      <c r="F323" s="13"/>
      <c r="G323" s="87"/>
      <c r="H323" s="13"/>
      <c r="I323" s="13"/>
      <c r="J323" s="13"/>
      <c r="K323" s="13"/>
      <c r="L323" s="13"/>
      <c r="M323" s="13"/>
      <c r="N323" s="13"/>
      <c r="O323" s="74"/>
      <c r="P323" s="13"/>
      <c r="Q323" s="13"/>
      <c r="R323" s="13"/>
      <c r="S323" s="88">
        <v>0</v>
      </c>
      <c r="T323" s="13"/>
      <c r="U323" s="13"/>
      <c r="V323" s="88">
        <v>0</v>
      </c>
    </row>
    <row r="324" spans="1:22" ht="45">
      <c r="A324" s="103" t="s">
        <v>372</v>
      </c>
      <c r="B324" s="66" t="s">
        <v>373</v>
      </c>
      <c r="C324" s="13"/>
      <c r="D324" s="13"/>
      <c r="E324" s="71"/>
      <c r="F324" s="13"/>
      <c r="G324" s="87"/>
      <c r="H324" s="13"/>
      <c r="I324" s="13"/>
      <c r="J324" s="13"/>
      <c r="K324" s="13"/>
      <c r="L324" s="13"/>
      <c r="M324" s="13"/>
      <c r="N324" s="13"/>
      <c r="O324" s="74"/>
      <c r="P324" s="13"/>
      <c r="Q324" s="13"/>
      <c r="R324" s="13"/>
      <c r="S324" s="88">
        <v>0</v>
      </c>
      <c r="T324" s="13"/>
      <c r="U324" s="13"/>
      <c r="V324" s="88">
        <v>0</v>
      </c>
    </row>
    <row r="325" spans="1:22" ht="45">
      <c r="A325" s="103" t="s">
        <v>374</v>
      </c>
      <c r="B325" s="66" t="s">
        <v>375</v>
      </c>
      <c r="C325" s="13"/>
      <c r="D325" s="13"/>
      <c r="E325" s="71"/>
      <c r="F325" s="13"/>
      <c r="G325" s="87"/>
      <c r="H325" s="13"/>
      <c r="I325" s="13"/>
      <c r="J325" s="13"/>
      <c r="K325" s="13"/>
      <c r="L325" s="13"/>
      <c r="M325" s="13"/>
      <c r="N325" s="13"/>
      <c r="O325" s="74"/>
      <c r="P325" s="13"/>
      <c r="Q325" s="13"/>
      <c r="R325" s="13"/>
      <c r="S325" s="88">
        <v>0</v>
      </c>
      <c r="T325" s="13"/>
      <c r="U325" s="13"/>
      <c r="V325" s="88">
        <v>0</v>
      </c>
    </row>
    <row r="326" spans="1:22" ht="45">
      <c r="A326" s="103" t="s">
        <v>376</v>
      </c>
      <c r="B326" s="66" t="s">
        <v>377</v>
      </c>
      <c r="C326" s="13"/>
      <c r="D326" s="13"/>
      <c r="E326" s="71"/>
      <c r="F326" s="13"/>
      <c r="G326" s="87"/>
      <c r="H326" s="13"/>
      <c r="I326" s="13"/>
      <c r="J326" s="13"/>
      <c r="K326" s="13"/>
      <c r="L326" s="13"/>
      <c r="M326" s="13"/>
      <c r="N326" s="13"/>
      <c r="O326" s="74"/>
      <c r="P326" s="13"/>
      <c r="Q326" s="13"/>
      <c r="R326" s="13"/>
      <c r="S326" s="88">
        <v>0</v>
      </c>
      <c r="T326" s="13"/>
      <c r="U326" s="13"/>
      <c r="V326" s="88">
        <v>0</v>
      </c>
    </row>
    <row r="327" spans="1:22" ht="45">
      <c r="A327" s="103" t="s">
        <v>378</v>
      </c>
      <c r="B327" s="66" t="s">
        <v>379</v>
      </c>
      <c r="C327" s="13"/>
      <c r="D327" s="13"/>
      <c r="E327" s="71"/>
      <c r="F327" s="13"/>
      <c r="G327" s="87"/>
      <c r="H327" s="13"/>
      <c r="I327" s="13"/>
      <c r="J327" s="13"/>
      <c r="K327" s="13"/>
      <c r="L327" s="13"/>
      <c r="M327" s="13"/>
      <c r="N327" s="13"/>
      <c r="O327" s="74"/>
      <c r="P327" s="13"/>
      <c r="Q327" s="13"/>
      <c r="R327" s="13"/>
      <c r="S327" s="88">
        <v>0</v>
      </c>
      <c r="T327" s="13"/>
      <c r="U327" s="13"/>
      <c r="V327" s="88">
        <v>0</v>
      </c>
    </row>
    <row r="328" spans="1:22" ht="30">
      <c r="A328" s="103" t="s">
        <v>380</v>
      </c>
      <c r="B328" s="66" t="s">
        <v>381</v>
      </c>
      <c r="C328" s="13"/>
      <c r="D328" s="13"/>
      <c r="E328" s="71"/>
      <c r="F328" s="13"/>
      <c r="G328" s="87"/>
      <c r="H328" s="13"/>
      <c r="I328" s="13"/>
      <c r="J328" s="13"/>
      <c r="K328" s="13"/>
      <c r="L328" s="13"/>
      <c r="M328" s="13"/>
      <c r="N328" s="13"/>
      <c r="O328" s="74"/>
      <c r="P328" s="13"/>
      <c r="Q328" s="13"/>
      <c r="R328" s="13"/>
      <c r="S328" s="88">
        <v>0</v>
      </c>
      <c r="T328" s="13"/>
      <c r="U328" s="13"/>
      <c r="V328" s="88">
        <v>0</v>
      </c>
    </row>
    <row r="329" spans="1:22" ht="15">
      <c r="A329" s="62" t="s">
        <v>382</v>
      </c>
      <c r="B329" s="111" t="s">
        <v>383</v>
      </c>
      <c r="C329" s="13"/>
      <c r="D329" s="13"/>
      <c r="E329" s="77"/>
      <c r="F329" s="13"/>
      <c r="G329" s="59">
        <f>SUM(G330:G336)</f>
        <v>44998</v>
      </c>
      <c r="H329" s="13"/>
      <c r="I329" s="13"/>
      <c r="J329" s="13"/>
      <c r="K329" s="13"/>
      <c r="L329" s="13"/>
      <c r="M329" s="13"/>
      <c r="N329" s="13"/>
      <c r="O329" s="59">
        <f>SUM(O330:O336)</f>
        <v>150</v>
      </c>
      <c r="P329" s="13"/>
      <c r="Q329" s="13"/>
      <c r="R329" s="13"/>
      <c r="S329" s="59">
        <v>3000</v>
      </c>
      <c r="T329" s="13"/>
      <c r="U329" s="13"/>
      <c r="V329" s="59">
        <v>3000</v>
      </c>
    </row>
    <row r="330" spans="1:22" ht="30">
      <c r="A330" s="100" t="s">
        <v>89</v>
      </c>
      <c r="B330" s="66" t="s">
        <v>384</v>
      </c>
      <c r="C330" s="13"/>
      <c r="D330" s="13"/>
      <c r="E330" s="71" t="s">
        <v>520</v>
      </c>
      <c r="F330" s="13"/>
      <c r="G330" s="87">
        <v>44998</v>
      </c>
      <c r="H330" s="13"/>
      <c r="I330" s="13"/>
      <c r="J330" s="13"/>
      <c r="K330" s="13"/>
      <c r="L330" s="13"/>
      <c r="M330" s="13"/>
      <c r="N330" s="13"/>
      <c r="O330" s="74">
        <f>3000-3000</f>
        <v>0</v>
      </c>
      <c r="P330" s="13"/>
      <c r="Q330" s="13"/>
      <c r="R330" s="13"/>
      <c r="S330" s="88">
        <v>3000</v>
      </c>
      <c r="T330" s="13"/>
      <c r="U330" s="13"/>
      <c r="V330" s="88">
        <v>3000</v>
      </c>
    </row>
    <row r="331" spans="1:22" ht="30">
      <c r="A331" s="100" t="s">
        <v>91</v>
      </c>
      <c r="B331" s="105" t="s">
        <v>385</v>
      </c>
      <c r="C331" s="13"/>
      <c r="D331" s="13"/>
      <c r="E331" s="67"/>
      <c r="F331" s="13"/>
      <c r="G331" s="81"/>
      <c r="H331" s="13"/>
      <c r="I331" s="13"/>
      <c r="J331" s="13"/>
      <c r="K331" s="13"/>
      <c r="L331" s="13"/>
      <c r="M331" s="13"/>
      <c r="N331" s="13"/>
      <c r="O331" s="74">
        <f>5000-5000</f>
        <v>0</v>
      </c>
      <c r="P331" s="13"/>
      <c r="Q331" s="13"/>
      <c r="R331" s="13"/>
      <c r="S331" s="88">
        <v>0</v>
      </c>
      <c r="T331" s="13"/>
      <c r="U331" s="13"/>
      <c r="V331" s="88">
        <v>0</v>
      </c>
    </row>
    <row r="332" spans="1:22" ht="30">
      <c r="A332" s="100" t="s">
        <v>93</v>
      </c>
      <c r="B332" s="90" t="s">
        <v>386</v>
      </c>
      <c r="C332" s="13"/>
      <c r="D332" s="13"/>
      <c r="E332" s="77"/>
      <c r="F332" s="13"/>
      <c r="G332" s="81"/>
      <c r="H332" s="13"/>
      <c r="I332" s="13"/>
      <c r="J332" s="13"/>
      <c r="K332" s="13"/>
      <c r="L332" s="13"/>
      <c r="M332" s="13"/>
      <c r="N332" s="13"/>
      <c r="O332" s="74">
        <f>100-100</f>
        <v>0</v>
      </c>
      <c r="P332" s="13"/>
      <c r="Q332" s="13"/>
      <c r="R332" s="13"/>
      <c r="S332" s="82">
        <v>0</v>
      </c>
      <c r="T332" s="13"/>
      <c r="U332" s="13"/>
      <c r="V332" s="82">
        <v>0</v>
      </c>
    </row>
    <row r="333" spans="1:22" ht="45">
      <c r="A333" s="100" t="s">
        <v>95</v>
      </c>
      <c r="B333" s="80" t="s">
        <v>387</v>
      </c>
      <c r="C333" s="13"/>
      <c r="D333" s="13"/>
      <c r="E333" s="67"/>
      <c r="F333" s="13"/>
      <c r="G333" s="81"/>
      <c r="H333" s="13"/>
      <c r="I333" s="13"/>
      <c r="J333" s="13"/>
      <c r="K333" s="13"/>
      <c r="L333" s="13"/>
      <c r="M333" s="13"/>
      <c r="N333" s="13"/>
      <c r="O333" s="74">
        <f>100-50-50</f>
        <v>0</v>
      </c>
      <c r="P333" s="13"/>
      <c r="Q333" s="13"/>
      <c r="R333" s="13"/>
      <c r="S333" s="82">
        <v>0</v>
      </c>
      <c r="T333" s="13"/>
      <c r="U333" s="13"/>
      <c r="V333" s="82">
        <v>0</v>
      </c>
    </row>
    <row r="334" spans="1:22" ht="45">
      <c r="A334" s="100" t="s">
        <v>97</v>
      </c>
      <c r="B334" s="80" t="s">
        <v>388</v>
      </c>
      <c r="C334" s="13"/>
      <c r="D334" s="13"/>
      <c r="E334" s="67"/>
      <c r="F334" s="13"/>
      <c r="G334" s="81"/>
      <c r="H334" s="13"/>
      <c r="I334" s="13"/>
      <c r="J334" s="13"/>
      <c r="K334" s="13"/>
      <c r="L334" s="13"/>
      <c r="M334" s="13"/>
      <c r="N334" s="13"/>
      <c r="O334" s="74">
        <v>100</v>
      </c>
      <c r="P334" s="13"/>
      <c r="Q334" s="13"/>
      <c r="R334" s="13"/>
      <c r="S334" s="82">
        <v>0</v>
      </c>
      <c r="T334" s="13"/>
      <c r="U334" s="13"/>
      <c r="V334" s="82">
        <v>0</v>
      </c>
    </row>
    <row r="335" spans="1:22" ht="30">
      <c r="A335" s="100" t="s">
        <v>99</v>
      </c>
      <c r="B335" s="80" t="s">
        <v>389</v>
      </c>
      <c r="C335" s="13"/>
      <c r="D335" s="13"/>
      <c r="E335" s="77"/>
      <c r="F335" s="13"/>
      <c r="G335" s="81"/>
      <c r="H335" s="13"/>
      <c r="I335" s="13"/>
      <c r="J335" s="13"/>
      <c r="K335" s="13"/>
      <c r="L335" s="13"/>
      <c r="M335" s="13"/>
      <c r="N335" s="13"/>
      <c r="O335" s="74">
        <v>50</v>
      </c>
      <c r="P335" s="13"/>
      <c r="Q335" s="13"/>
      <c r="R335" s="13"/>
      <c r="S335" s="82">
        <v>0</v>
      </c>
      <c r="T335" s="13"/>
      <c r="U335" s="13"/>
      <c r="V335" s="82">
        <v>0</v>
      </c>
    </row>
    <row r="336" spans="1:22" ht="60">
      <c r="A336" s="100" t="s">
        <v>101</v>
      </c>
      <c r="B336" s="80" t="s">
        <v>390</v>
      </c>
      <c r="C336" s="13"/>
      <c r="D336" s="13"/>
      <c r="E336" s="77"/>
      <c r="F336" s="13"/>
      <c r="G336" s="82"/>
      <c r="H336" s="13"/>
      <c r="I336" s="13"/>
      <c r="J336" s="13"/>
      <c r="K336" s="13"/>
      <c r="L336" s="13"/>
      <c r="M336" s="13"/>
      <c r="N336" s="13"/>
      <c r="O336" s="82">
        <f>300-300</f>
        <v>0</v>
      </c>
      <c r="P336" s="13"/>
      <c r="Q336" s="13"/>
      <c r="R336" s="13"/>
      <c r="S336" s="82">
        <v>0</v>
      </c>
      <c r="T336" s="13"/>
      <c r="U336" s="13"/>
      <c r="V336" s="82">
        <v>0</v>
      </c>
    </row>
    <row r="337" spans="1:22" ht="15">
      <c r="A337" s="62" t="s">
        <v>391</v>
      </c>
      <c r="B337" s="111" t="s">
        <v>392</v>
      </c>
      <c r="C337" s="13"/>
      <c r="D337" s="13"/>
      <c r="E337" s="77"/>
      <c r="F337" s="13"/>
      <c r="G337" s="59">
        <f>SUM(G338:G355)</f>
        <v>0</v>
      </c>
      <c r="H337" s="13"/>
      <c r="I337" s="13"/>
      <c r="J337" s="13"/>
      <c r="K337" s="13"/>
      <c r="L337" s="13"/>
      <c r="M337" s="13"/>
      <c r="N337" s="13"/>
      <c r="O337" s="59">
        <f>SUM(O338:O355)</f>
        <v>2009.133</v>
      </c>
      <c r="P337" s="13"/>
      <c r="Q337" s="13"/>
      <c r="R337" s="13"/>
      <c r="S337" s="59">
        <v>0</v>
      </c>
      <c r="T337" s="13"/>
      <c r="U337" s="13"/>
      <c r="V337" s="59">
        <v>0</v>
      </c>
    </row>
    <row r="338" spans="1:22" ht="60">
      <c r="A338" s="100" t="s">
        <v>89</v>
      </c>
      <c r="B338" s="137" t="s">
        <v>80</v>
      </c>
      <c r="C338" s="13"/>
      <c r="D338" s="13"/>
      <c r="E338" s="67"/>
      <c r="F338" s="13"/>
      <c r="G338" s="81"/>
      <c r="H338" s="13"/>
      <c r="I338" s="13"/>
      <c r="J338" s="13"/>
      <c r="K338" s="13"/>
      <c r="L338" s="13"/>
      <c r="M338" s="13"/>
      <c r="N338" s="13"/>
      <c r="O338" s="74">
        <f>100+209.133+700+1000</f>
        <v>2009.133</v>
      </c>
      <c r="P338" s="13"/>
      <c r="Q338" s="13"/>
      <c r="R338" s="13"/>
      <c r="S338" s="88">
        <v>0</v>
      </c>
      <c r="T338" s="13"/>
      <c r="U338" s="13"/>
      <c r="V338" s="88">
        <v>0</v>
      </c>
    </row>
    <row r="339" spans="1:22" ht="45">
      <c r="A339" s="100" t="s">
        <v>91</v>
      </c>
      <c r="B339" s="114" t="s">
        <v>393</v>
      </c>
      <c r="C339" s="13"/>
      <c r="D339" s="13"/>
      <c r="E339" s="67"/>
      <c r="F339" s="13"/>
      <c r="G339" s="87"/>
      <c r="H339" s="13"/>
      <c r="I339" s="13"/>
      <c r="J339" s="13"/>
      <c r="K339" s="13"/>
      <c r="L339" s="13"/>
      <c r="M339" s="13"/>
      <c r="N339" s="13"/>
      <c r="O339" s="74"/>
      <c r="P339" s="13"/>
      <c r="Q339" s="13"/>
      <c r="R339" s="13"/>
      <c r="S339" s="88">
        <v>0</v>
      </c>
      <c r="T339" s="13"/>
      <c r="U339" s="13"/>
      <c r="V339" s="88">
        <v>0</v>
      </c>
    </row>
    <row r="340" spans="1:22" ht="60">
      <c r="A340" s="100" t="s">
        <v>93</v>
      </c>
      <c r="B340" s="90" t="s">
        <v>394</v>
      </c>
      <c r="C340" s="13"/>
      <c r="D340" s="13"/>
      <c r="E340" s="77"/>
      <c r="F340" s="13"/>
      <c r="G340" s="81"/>
      <c r="H340" s="13"/>
      <c r="I340" s="13"/>
      <c r="J340" s="13"/>
      <c r="K340" s="13"/>
      <c r="L340" s="13"/>
      <c r="M340" s="13"/>
      <c r="N340" s="13"/>
      <c r="O340" s="74">
        <f>100-100</f>
        <v>0</v>
      </c>
      <c r="P340" s="13"/>
      <c r="Q340" s="13"/>
      <c r="R340" s="13"/>
      <c r="S340" s="88">
        <v>0</v>
      </c>
      <c r="T340" s="13"/>
      <c r="U340" s="13"/>
      <c r="V340" s="88">
        <v>0</v>
      </c>
    </row>
    <row r="341" spans="1:22" ht="45">
      <c r="A341" s="100" t="s">
        <v>95</v>
      </c>
      <c r="B341" s="140" t="s">
        <v>395</v>
      </c>
      <c r="C341" s="13"/>
      <c r="D341" s="13"/>
      <c r="E341" s="67"/>
      <c r="F341" s="13"/>
      <c r="G341" s="87"/>
      <c r="H341" s="13"/>
      <c r="I341" s="13"/>
      <c r="J341" s="13"/>
      <c r="K341" s="13"/>
      <c r="L341" s="13"/>
      <c r="M341" s="13"/>
      <c r="N341" s="13"/>
      <c r="O341" s="74"/>
      <c r="P341" s="13"/>
      <c r="Q341" s="13"/>
      <c r="R341" s="13"/>
      <c r="S341" s="74"/>
      <c r="T341" s="13"/>
      <c r="U341" s="13"/>
      <c r="V341" s="74"/>
    </row>
    <row r="342" spans="1:22" ht="45">
      <c r="A342" s="100" t="s">
        <v>97</v>
      </c>
      <c r="B342" s="140" t="s">
        <v>396</v>
      </c>
      <c r="C342" s="13"/>
      <c r="D342" s="13"/>
      <c r="E342" s="67"/>
      <c r="F342" s="13"/>
      <c r="G342" s="87"/>
      <c r="H342" s="13"/>
      <c r="I342" s="13"/>
      <c r="J342" s="13"/>
      <c r="K342" s="13"/>
      <c r="L342" s="13"/>
      <c r="M342" s="13"/>
      <c r="N342" s="13"/>
      <c r="O342" s="74"/>
      <c r="P342" s="13"/>
      <c r="Q342" s="13"/>
      <c r="R342" s="13"/>
      <c r="S342" s="74"/>
      <c r="T342" s="13"/>
      <c r="U342" s="13"/>
      <c r="V342" s="74"/>
    </row>
    <row r="343" spans="1:22" ht="30">
      <c r="A343" s="100" t="s">
        <v>99</v>
      </c>
      <c r="B343" s="116" t="s">
        <v>397</v>
      </c>
      <c r="C343" s="13"/>
      <c r="D343" s="13"/>
      <c r="E343" s="67"/>
      <c r="F343" s="13"/>
      <c r="G343" s="81"/>
      <c r="H343" s="13"/>
      <c r="I343" s="13"/>
      <c r="J343" s="13"/>
      <c r="K343" s="13"/>
      <c r="L343" s="13"/>
      <c r="M343" s="13"/>
      <c r="N343" s="13"/>
      <c r="O343" s="74">
        <f>100-100</f>
        <v>0</v>
      </c>
      <c r="P343" s="13"/>
      <c r="Q343" s="13"/>
      <c r="R343" s="13"/>
      <c r="S343" s="74">
        <v>0</v>
      </c>
      <c r="T343" s="13"/>
      <c r="U343" s="13"/>
      <c r="V343" s="74">
        <v>0</v>
      </c>
    </row>
    <row r="344" spans="1:22" ht="30">
      <c r="A344" s="100" t="s">
        <v>101</v>
      </c>
      <c r="B344" s="116" t="s">
        <v>398</v>
      </c>
      <c r="C344" s="13"/>
      <c r="D344" s="13"/>
      <c r="E344" s="67"/>
      <c r="F344" s="13"/>
      <c r="G344" s="81"/>
      <c r="H344" s="13"/>
      <c r="I344" s="13"/>
      <c r="J344" s="13"/>
      <c r="K344" s="13"/>
      <c r="L344" s="13"/>
      <c r="M344" s="13"/>
      <c r="N344" s="13"/>
      <c r="O344" s="74">
        <f>200-200</f>
        <v>0</v>
      </c>
      <c r="P344" s="13"/>
      <c r="Q344" s="13"/>
      <c r="R344" s="13"/>
      <c r="S344" s="74">
        <v>0</v>
      </c>
      <c r="T344" s="13"/>
      <c r="U344" s="13"/>
      <c r="V344" s="74">
        <v>0</v>
      </c>
    </row>
    <row r="345" spans="1:22" ht="15">
      <c r="A345" s="100" t="s">
        <v>117</v>
      </c>
      <c r="B345" s="66" t="s">
        <v>399</v>
      </c>
      <c r="C345" s="13"/>
      <c r="D345" s="13"/>
      <c r="E345" s="67"/>
      <c r="F345" s="13"/>
      <c r="G345" s="81"/>
      <c r="H345" s="13"/>
      <c r="I345" s="13"/>
      <c r="J345" s="13"/>
      <c r="K345" s="13"/>
      <c r="L345" s="13"/>
      <c r="M345" s="13"/>
      <c r="N345" s="13"/>
      <c r="O345" s="74">
        <f>200-200</f>
        <v>0</v>
      </c>
      <c r="P345" s="13"/>
      <c r="Q345" s="13"/>
      <c r="R345" s="13"/>
      <c r="S345" s="88">
        <v>0</v>
      </c>
      <c r="T345" s="13"/>
      <c r="U345" s="13"/>
      <c r="V345" s="88">
        <v>0</v>
      </c>
    </row>
    <row r="346" spans="1:22" ht="30">
      <c r="A346" s="100" t="s">
        <v>119</v>
      </c>
      <c r="B346" s="116" t="s">
        <v>400</v>
      </c>
      <c r="C346" s="13"/>
      <c r="D346" s="13"/>
      <c r="E346" s="67"/>
      <c r="F346" s="13"/>
      <c r="G346" s="81"/>
      <c r="H346" s="13"/>
      <c r="I346" s="13"/>
      <c r="J346" s="13"/>
      <c r="K346" s="13"/>
      <c r="L346" s="13"/>
      <c r="M346" s="13"/>
      <c r="N346" s="13"/>
      <c r="O346" s="74"/>
      <c r="P346" s="13"/>
      <c r="Q346" s="13"/>
      <c r="R346" s="13"/>
      <c r="S346" s="74">
        <v>0</v>
      </c>
      <c r="T346" s="13"/>
      <c r="U346" s="13"/>
      <c r="V346" s="74">
        <v>0</v>
      </c>
    </row>
    <row r="347" spans="1:22" ht="30">
      <c r="A347" s="100" t="s">
        <v>121</v>
      </c>
      <c r="B347" s="116" t="s">
        <v>401</v>
      </c>
      <c r="C347" s="13"/>
      <c r="D347" s="13"/>
      <c r="E347" s="67"/>
      <c r="F347" s="13"/>
      <c r="G347" s="81"/>
      <c r="H347" s="13"/>
      <c r="I347" s="13"/>
      <c r="J347" s="13"/>
      <c r="K347" s="13"/>
      <c r="L347" s="13"/>
      <c r="M347" s="13"/>
      <c r="N347" s="13"/>
      <c r="O347" s="74"/>
      <c r="P347" s="13"/>
      <c r="Q347" s="13"/>
      <c r="R347" s="13"/>
      <c r="S347" s="74">
        <v>0</v>
      </c>
      <c r="T347" s="13"/>
      <c r="U347" s="13"/>
      <c r="V347" s="74">
        <v>0</v>
      </c>
    </row>
    <row r="348" spans="1:22" ht="45">
      <c r="A348" s="100" t="s">
        <v>123</v>
      </c>
      <c r="B348" s="116" t="s">
        <v>402</v>
      </c>
      <c r="C348" s="13"/>
      <c r="D348" s="13"/>
      <c r="E348" s="67"/>
      <c r="F348" s="13"/>
      <c r="G348" s="81"/>
      <c r="H348" s="13"/>
      <c r="I348" s="13"/>
      <c r="J348" s="13"/>
      <c r="K348" s="13"/>
      <c r="L348" s="13"/>
      <c r="M348" s="13"/>
      <c r="N348" s="13"/>
      <c r="O348" s="74"/>
      <c r="P348" s="13"/>
      <c r="Q348" s="13"/>
      <c r="R348" s="13"/>
      <c r="S348" s="74">
        <v>0</v>
      </c>
      <c r="T348" s="13"/>
      <c r="U348" s="13"/>
      <c r="V348" s="74">
        <v>0</v>
      </c>
    </row>
    <row r="349" spans="1:22" ht="30">
      <c r="A349" s="100" t="s">
        <v>125</v>
      </c>
      <c r="B349" s="116" t="s">
        <v>403</v>
      </c>
      <c r="C349" s="13"/>
      <c r="D349" s="13"/>
      <c r="E349" s="67"/>
      <c r="F349" s="13"/>
      <c r="G349" s="81"/>
      <c r="H349" s="13"/>
      <c r="I349" s="13"/>
      <c r="J349" s="13"/>
      <c r="K349" s="13"/>
      <c r="L349" s="13"/>
      <c r="M349" s="13"/>
      <c r="N349" s="13"/>
      <c r="O349" s="74"/>
      <c r="P349" s="13"/>
      <c r="Q349" s="13"/>
      <c r="R349" s="13"/>
      <c r="S349" s="74">
        <v>0</v>
      </c>
      <c r="T349" s="13"/>
      <c r="U349" s="13"/>
      <c r="V349" s="74">
        <v>0</v>
      </c>
    </row>
    <row r="350" spans="1:22" ht="30">
      <c r="A350" s="100" t="s">
        <v>127</v>
      </c>
      <c r="B350" s="116" t="s">
        <v>404</v>
      </c>
      <c r="C350" s="13"/>
      <c r="D350" s="13"/>
      <c r="E350" s="67"/>
      <c r="F350" s="13"/>
      <c r="G350" s="81"/>
      <c r="H350" s="13"/>
      <c r="I350" s="13"/>
      <c r="J350" s="13"/>
      <c r="K350" s="13"/>
      <c r="L350" s="13"/>
      <c r="M350" s="13"/>
      <c r="N350" s="13"/>
      <c r="O350" s="74"/>
      <c r="P350" s="13"/>
      <c r="Q350" s="13"/>
      <c r="R350" s="13"/>
      <c r="S350" s="74">
        <v>0</v>
      </c>
      <c r="T350" s="13"/>
      <c r="U350" s="13"/>
      <c r="V350" s="74">
        <v>0</v>
      </c>
    </row>
    <row r="351" spans="1:22" ht="30">
      <c r="A351" s="100" t="s">
        <v>129</v>
      </c>
      <c r="B351" s="116" t="s">
        <v>405</v>
      </c>
      <c r="C351" s="13"/>
      <c r="D351" s="13"/>
      <c r="E351" s="67"/>
      <c r="F351" s="13"/>
      <c r="G351" s="81"/>
      <c r="H351" s="13"/>
      <c r="I351" s="13"/>
      <c r="J351" s="13"/>
      <c r="K351" s="13"/>
      <c r="L351" s="13"/>
      <c r="M351" s="13"/>
      <c r="N351" s="13"/>
      <c r="O351" s="74"/>
      <c r="P351" s="13"/>
      <c r="Q351" s="13"/>
      <c r="R351" s="13"/>
      <c r="S351" s="74">
        <v>0</v>
      </c>
      <c r="T351" s="13"/>
      <c r="U351" s="13"/>
      <c r="V351" s="74">
        <v>0</v>
      </c>
    </row>
    <row r="352" spans="1:22" ht="60">
      <c r="A352" s="100" t="s">
        <v>139</v>
      </c>
      <c r="B352" s="116" t="s">
        <v>406</v>
      </c>
      <c r="C352" s="13"/>
      <c r="D352" s="13"/>
      <c r="E352" s="67"/>
      <c r="F352" s="13"/>
      <c r="G352" s="81"/>
      <c r="H352" s="13"/>
      <c r="I352" s="13"/>
      <c r="J352" s="13"/>
      <c r="K352" s="13"/>
      <c r="L352" s="13"/>
      <c r="M352" s="13"/>
      <c r="N352" s="13"/>
      <c r="O352" s="74"/>
      <c r="P352" s="13"/>
      <c r="Q352" s="13"/>
      <c r="R352" s="13"/>
      <c r="S352" s="74"/>
      <c r="T352" s="13"/>
      <c r="U352" s="13"/>
      <c r="V352" s="74"/>
    </row>
    <row r="353" spans="1:22" ht="45">
      <c r="A353" s="100" t="s">
        <v>141</v>
      </c>
      <c r="B353" s="116" t="s">
        <v>407</v>
      </c>
      <c r="C353" s="13"/>
      <c r="D353" s="13"/>
      <c r="E353" s="67"/>
      <c r="F353" s="13"/>
      <c r="G353" s="81"/>
      <c r="H353" s="13"/>
      <c r="I353" s="13"/>
      <c r="J353" s="13"/>
      <c r="K353" s="13"/>
      <c r="L353" s="13"/>
      <c r="M353" s="13"/>
      <c r="N353" s="13"/>
      <c r="O353" s="74"/>
      <c r="P353" s="13"/>
      <c r="Q353" s="13"/>
      <c r="R353" s="13"/>
      <c r="S353" s="74"/>
      <c r="T353" s="13"/>
      <c r="U353" s="13"/>
      <c r="V353" s="74"/>
    </row>
    <row r="354" spans="1:22" ht="30">
      <c r="A354" s="100" t="s">
        <v>143</v>
      </c>
      <c r="B354" s="116" t="s">
        <v>408</v>
      </c>
      <c r="C354" s="13"/>
      <c r="D354" s="13"/>
      <c r="E354" s="67"/>
      <c r="F354" s="13"/>
      <c r="G354" s="81"/>
      <c r="H354" s="13"/>
      <c r="I354" s="13"/>
      <c r="J354" s="13"/>
      <c r="K354" s="13"/>
      <c r="L354" s="13"/>
      <c r="M354" s="13"/>
      <c r="N354" s="13"/>
      <c r="O354" s="74"/>
      <c r="P354" s="13"/>
      <c r="Q354" s="13"/>
      <c r="R354" s="13"/>
      <c r="S354" s="74"/>
      <c r="T354" s="13"/>
      <c r="U354" s="13"/>
      <c r="V354" s="74"/>
    </row>
    <row r="355" spans="1:22" ht="30">
      <c r="A355" s="100" t="s">
        <v>145</v>
      </c>
      <c r="B355" s="116" t="s">
        <v>409</v>
      </c>
      <c r="C355" s="13"/>
      <c r="D355" s="13"/>
      <c r="E355" s="67"/>
      <c r="F355" s="13"/>
      <c r="G355" s="81"/>
      <c r="H355" s="13"/>
      <c r="I355" s="13"/>
      <c r="J355" s="13"/>
      <c r="K355" s="13"/>
      <c r="L355" s="13"/>
      <c r="M355" s="13"/>
      <c r="N355" s="13"/>
      <c r="O355" s="74"/>
      <c r="P355" s="13"/>
      <c r="Q355" s="13"/>
      <c r="R355" s="13"/>
      <c r="S355" s="74"/>
      <c r="T355" s="13"/>
      <c r="U355" s="13"/>
      <c r="V355" s="74"/>
    </row>
    <row r="356" spans="1:22" ht="15">
      <c r="A356" s="62" t="s">
        <v>410</v>
      </c>
      <c r="B356" s="111" t="s">
        <v>411</v>
      </c>
      <c r="C356" s="13"/>
      <c r="D356" s="13"/>
      <c r="E356" s="77"/>
      <c r="F356" s="13"/>
      <c r="G356" s="59">
        <f>SUM(G357:G357)</f>
        <v>0</v>
      </c>
      <c r="H356" s="13"/>
      <c r="I356" s="13"/>
      <c r="J356" s="13"/>
      <c r="K356" s="13"/>
      <c r="L356" s="13"/>
      <c r="M356" s="13"/>
      <c r="N356" s="13"/>
      <c r="O356" s="59">
        <f>SUM(O357:O357)</f>
        <v>100</v>
      </c>
      <c r="P356" s="13"/>
      <c r="Q356" s="13"/>
      <c r="R356" s="13"/>
      <c r="S356" s="59">
        <v>0</v>
      </c>
      <c r="T356" s="13"/>
      <c r="U356" s="13"/>
      <c r="V356" s="59">
        <v>0</v>
      </c>
    </row>
    <row r="357" spans="1:22" ht="45">
      <c r="A357" s="100" t="s">
        <v>89</v>
      </c>
      <c r="B357" s="106" t="s">
        <v>412</v>
      </c>
      <c r="C357" s="13"/>
      <c r="D357" s="13"/>
      <c r="E357" s="77"/>
      <c r="F357" s="13"/>
      <c r="G357" s="78"/>
      <c r="H357" s="13"/>
      <c r="I357" s="13"/>
      <c r="J357" s="13"/>
      <c r="K357" s="13"/>
      <c r="L357" s="13"/>
      <c r="M357" s="13"/>
      <c r="N357" s="13"/>
      <c r="O357" s="74">
        <v>100</v>
      </c>
      <c r="P357" s="13"/>
      <c r="Q357" s="13"/>
      <c r="R357" s="13"/>
      <c r="S357" s="88">
        <v>0</v>
      </c>
      <c r="T357" s="13"/>
      <c r="U357" s="13"/>
      <c r="V357" s="88">
        <v>0</v>
      </c>
    </row>
    <row r="358" spans="1:22" ht="15">
      <c r="A358" s="62" t="s">
        <v>413</v>
      </c>
      <c r="B358" s="111" t="s">
        <v>414</v>
      </c>
      <c r="C358" s="13"/>
      <c r="D358" s="13"/>
      <c r="E358" s="77"/>
      <c r="F358" s="13"/>
      <c r="G358" s="59">
        <f>SUM(G360:G396)</f>
        <v>4000</v>
      </c>
      <c r="H358" s="13"/>
      <c r="I358" s="13"/>
      <c r="J358" s="13"/>
      <c r="K358" s="13"/>
      <c r="L358" s="13"/>
      <c r="M358" s="13"/>
      <c r="N358" s="13"/>
      <c r="O358" s="59">
        <f>SUM(O359:O396)</f>
        <v>2674.4170000000004</v>
      </c>
      <c r="P358" s="13"/>
      <c r="Q358" s="13"/>
      <c r="R358" s="13"/>
      <c r="S358" s="59">
        <v>0</v>
      </c>
      <c r="T358" s="13"/>
      <c r="U358" s="13"/>
      <c r="V358" s="59">
        <v>0</v>
      </c>
    </row>
    <row r="359" spans="1:22" ht="75">
      <c r="A359" s="100" t="s">
        <v>89</v>
      </c>
      <c r="B359" s="141" t="s">
        <v>415</v>
      </c>
      <c r="C359" s="13"/>
      <c r="D359" s="13"/>
      <c r="E359" s="67" t="s">
        <v>520</v>
      </c>
      <c r="F359" s="13"/>
      <c r="G359" s="81">
        <v>24500</v>
      </c>
      <c r="H359" s="13"/>
      <c r="I359" s="13"/>
      <c r="J359" s="13"/>
      <c r="K359" s="13"/>
      <c r="L359" s="13"/>
      <c r="M359" s="13"/>
      <c r="N359" s="13"/>
      <c r="O359" s="74"/>
      <c r="P359" s="13"/>
      <c r="Q359" s="13"/>
      <c r="R359" s="13"/>
      <c r="S359" s="88">
        <v>0</v>
      </c>
      <c r="T359" s="13"/>
      <c r="U359" s="13"/>
      <c r="V359" s="88">
        <v>0</v>
      </c>
    </row>
    <row r="360" spans="1:22" ht="45">
      <c r="A360" s="100" t="s">
        <v>91</v>
      </c>
      <c r="B360" s="102" t="s">
        <v>416</v>
      </c>
      <c r="C360" s="13"/>
      <c r="D360" s="13"/>
      <c r="E360" s="67"/>
      <c r="F360" s="13"/>
      <c r="G360" s="81"/>
      <c r="H360" s="13"/>
      <c r="I360" s="13"/>
      <c r="J360" s="13"/>
      <c r="K360" s="13"/>
      <c r="L360" s="13"/>
      <c r="M360" s="13"/>
      <c r="N360" s="13"/>
      <c r="O360" s="74">
        <f>10000-7615.583</f>
        <v>2384.4170000000004</v>
      </c>
      <c r="P360" s="13"/>
      <c r="Q360" s="13"/>
      <c r="R360" s="13"/>
      <c r="S360" s="88">
        <v>0</v>
      </c>
      <c r="T360" s="13"/>
      <c r="U360" s="13"/>
      <c r="V360" s="88">
        <v>0</v>
      </c>
    </row>
    <row r="361" spans="1:22" ht="45">
      <c r="A361" s="100" t="s">
        <v>93</v>
      </c>
      <c r="B361" s="102" t="s">
        <v>417</v>
      </c>
      <c r="C361" s="13"/>
      <c r="D361" s="13"/>
      <c r="E361" s="67" t="s">
        <v>65</v>
      </c>
      <c r="F361" s="13"/>
      <c r="G361" s="81">
        <v>4000</v>
      </c>
      <c r="H361" s="13"/>
      <c r="I361" s="13"/>
      <c r="J361" s="13"/>
      <c r="K361" s="13"/>
      <c r="L361" s="13"/>
      <c r="M361" s="13"/>
      <c r="N361" s="13"/>
      <c r="O361" s="74">
        <v>100</v>
      </c>
      <c r="P361" s="13"/>
      <c r="Q361" s="13"/>
      <c r="R361" s="13"/>
      <c r="S361" s="88">
        <v>0</v>
      </c>
      <c r="T361" s="13"/>
      <c r="U361" s="13"/>
      <c r="V361" s="88">
        <v>0</v>
      </c>
    </row>
    <row r="362" spans="1:22" ht="30">
      <c r="A362" s="100" t="s">
        <v>95</v>
      </c>
      <c r="B362" s="102" t="s">
        <v>418</v>
      </c>
      <c r="C362" s="13"/>
      <c r="D362" s="13"/>
      <c r="E362" s="77"/>
      <c r="F362" s="13"/>
      <c r="G362" s="81"/>
      <c r="H362" s="13"/>
      <c r="I362" s="13"/>
      <c r="J362" s="13"/>
      <c r="K362" s="13"/>
      <c r="L362" s="13"/>
      <c r="M362" s="13"/>
      <c r="N362" s="13"/>
      <c r="O362" s="74">
        <f>200-150-50</f>
        <v>0</v>
      </c>
      <c r="P362" s="13"/>
      <c r="Q362" s="13"/>
      <c r="R362" s="13"/>
      <c r="S362" s="88">
        <v>0</v>
      </c>
      <c r="T362" s="13"/>
      <c r="U362" s="13"/>
      <c r="V362" s="88">
        <v>0</v>
      </c>
    </row>
    <row r="363" spans="1:22" ht="30">
      <c r="A363" s="100" t="s">
        <v>97</v>
      </c>
      <c r="B363" s="102" t="s">
        <v>419</v>
      </c>
      <c r="C363" s="13"/>
      <c r="D363" s="13"/>
      <c r="E363" s="77"/>
      <c r="F363" s="13"/>
      <c r="G363" s="81"/>
      <c r="H363" s="13"/>
      <c r="I363" s="13"/>
      <c r="J363" s="13"/>
      <c r="K363" s="13"/>
      <c r="L363" s="13"/>
      <c r="M363" s="13"/>
      <c r="N363" s="13"/>
      <c r="O363" s="74">
        <f>200-150-50</f>
        <v>0</v>
      </c>
      <c r="P363" s="13"/>
      <c r="Q363" s="13"/>
      <c r="R363" s="13"/>
      <c r="S363" s="88">
        <v>0</v>
      </c>
      <c r="T363" s="13"/>
      <c r="U363" s="13"/>
      <c r="V363" s="88">
        <v>0</v>
      </c>
    </row>
    <row r="364" spans="1:22" ht="45">
      <c r="A364" s="100" t="s">
        <v>99</v>
      </c>
      <c r="B364" s="102" t="s">
        <v>420</v>
      </c>
      <c r="C364" s="13"/>
      <c r="D364" s="13"/>
      <c r="E364" s="77"/>
      <c r="F364" s="13"/>
      <c r="G364" s="81"/>
      <c r="H364" s="13"/>
      <c r="I364" s="13"/>
      <c r="J364" s="13"/>
      <c r="K364" s="13"/>
      <c r="L364" s="13"/>
      <c r="M364" s="13"/>
      <c r="N364" s="13"/>
      <c r="O364" s="74"/>
      <c r="P364" s="13"/>
      <c r="Q364" s="13"/>
      <c r="R364" s="13"/>
      <c r="S364" s="88"/>
      <c r="T364" s="13"/>
      <c r="U364" s="13"/>
      <c r="V364" s="88"/>
    </row>
    <row r="365" spans="1:22" ht="30">
      <c r="A365" s="100" t="s">
        <v>101</v>
      </c>
      <c r="B365" s="115" t="s">
        <v>421</v>
      </c>
      <c r="C365" s="13"/>
      <c r="D365" s="13"/>
      <c r="E365" s="77"/>
      <c r="F365" s="13"/>
      <c r="G365" s="81"/>
      <c r="H365" s="13"/>
      <c r="I365" s="13"/>
      <c r="J365" s="13"/>
      <c r="K365" s="13"/>
      <c r="L365" s="13"/>
      <c r="M365" s="13"/>
      <c r="N365" s="13"/>
      <c r="O365" s="74"/>
      <c r="P365" s="13"/>
      <c r="Q365" s="13"/>
      <c r="R365" s="13"/>
      <c r="S365" s="88"/>
      <c r="T365" s="13"/>
      <c r="U365" s="13"/>
      <c r="V365" s="88"/>
    </row>
    <row r="366" spans="1:22" ht="30">
      <c r="A366" s="100" t="s">
        <v>117</v>
      </c>
      <c r="B366" s="102" t="s">
        <v>422</v>
      </c>
      <c r="C366" s="13"/>
      <c r="D366" s="13"/>
      <c r="E366" s="77"/>
      <c r="F366" s="13"/>
      <c r="G366" s="81"/>
      <c r="H366" s="13"/>
      <c r="I366" s="13"/>
      <c r="J366" s="13"/>
      <c r="K366" s="13"/>
      <c r="L366" s="13"/>
      <c r="M366" s="13"/>
      <c r="N366" s="13"/>
      <c r="O366" s="74">
        <f>200-150-50</f>
        <v>0</v>
      </c>
      <c r="P366" s="13"/>
      <c r="Q366" s="13"/>
      <c r="R366" s="13"/>
      <c r="S366" s="88">
        <v>0</v>
      </c>
      <c r="T366" s="13"/>
      <c r="U366" s="13"/>
      <c r="V366" s="88">
        <v>0</v>
      </c>
    </row>
    <row r="367" spans="1:22" ht="30">
      <c r="A367" s="100" t="s">
        <v>119</v>
      </c>
      <c r="B367" s="102" t="s">
        <v>423</v>
      </c>
      <c r="C367" s="13"/>
      <c r="D367" s="13"/>
      <c r="E367" s="77"/>
      <c r="F367" s="13"/>
      <c r="G367" s="81"/>
      <c r="H367" s="13"/>
      <c r="I367" s="13"/>
      <c r="J367" s="13"/>
      <c r="K367" s="13"/>
      <c r="L367" s="13"/>
      <c r="M367" s="13"/>
      <c r="N367" s="13"/>
      <c r="O367" s="74">
        <f>2650-2460</f>
        <v>190</v>
      </c>
      <c r="P367" s="13"/>
      <c r="Q367" s="13"/>
      <c r="R367" s="13"/>
      <c r="S367" s="88">
        <v>0</v>
      </c>
      <c r="T367" s="13"/>
      <c r="U367" s="13"/>
      <c r="V367" s="88">
        <v>0</v>
      </c>
    </row>
    <row r="368" spans="1:22" ht="30">
      <c r="A368" s="100" t="s">
        <v>121</v>
      </c>
      <c r="B368" s="102" t="s">
        <v>424</v>
      </c>
      <c r="C368" s="13"/>
      <c r="D368" s="13"/>
      <c r="E368" s="77"/>
      <c r="F368" s="13"/>
      <c r="G368" s="81"/>
      <c r="H368" s="13"/>
      <c r="I368" s="13"/>
      <c r="J368" s="13"/>
      <c r="K368" s="13"/>
      <c r="L368" s="13"/>
      <c r="M368" s="13"/>
      <c r="N368" s="13"/>
      <c r="O368" s="74">
        <f>200-150-50</f>
        <v>0</v>
      </c>
      <c r="P368" s="13"/>
      <c r="Q368" s="13"/>
      <c r="R368" s="13"/>
      <c r="S368" s="88">
        <v>0</v>
      </c>
      <c r="T368" s="13"/>
      <c r="U368" s="13"/>
      <c r="V368" s="88">
        <v>0</v>
      </c>
    </row>
    <row r="369" spans="1:22" ht="30">
      <c r="A369" s="100" t="s">
        <v>123</v>
      </c>
      <c r="B369" s="102" t="s">
        <v>425</v>
      </c>
      <c r="C369" s="13"/>
      <c r="D369" s="13"/>
      <c r="E369" s="77"/>
      <c r="F369" s="13"/>
      <c r="G369" s="81"/>
      <c r="H369" s="13"/>
      <c r="I369" s="13"/>
      <c r="J369" s="13"/>
      <c r="K369" s="13"/>
      <c r="L369" s="13"/>
      <c r="M369" s="13"/>
      <c r="N369" s="13"/>
      <c r="O369" s="74"/>
      <c r="P369" s="13"/>
      <c r="Q369" s="13"/>
      <c r="R369" s="13"/>
      <c r="S369" s="88">
        <v>0</v>
      </c>
      <c r="T369" s="13"/>
      <c r="U369" s="13"/>
      <c r="V369" s="88">
        <v>0</v>
      </c>
    </row>
    <row r="370" spans="1:22" ht="30">
      <c r="A370" s="100" t="s">
        <v>125</v>
      </c>
      <c r="B370" s="102" t="s">
        <v>426</v>
      </c>
      <c r="C370" s="13"/>
      <c r="D370" s="13"/>
      <c r="E370" s="77"/>
      <c r="F370" s="13"/>
      <c r="G370" s="81"/>
      <c r="H370" s="13"/>
      <c r="I370" s="13"/>
      <c r="J370" s="13"/>
      <c r="K370" s="13"/>
      <c r="L370" s="13"/>
      <c r="M370" s="13"/>
      <c r="N370" s="13"/>
      <c r="O370" s="74"/>
      <c r="P370" s="13"/>
      <c r="Q370" s="13"/>
      <c r="R370" s="13"/>
      <c r="S370" s="88">
        <v>0</v>
      </c>
      <c r="T370" s="13"/>
      <c r="U370" s="13"/>
      <c r="V370" s="88">
        <v>0</v>
      </c>
    </row>
    <row r="371" spans="1:22" ht="30">
      <c r="A371" s="100" t="s">
        <v>127</v>
      </c>
      <c r="B371" s="102" t="s">
        <v>427</v>
      </c>
      <c r="C371" s="13"/>
      <c r="D371" s="13"/>
      <c r="E371" s="77"/>
      <c r="F371" s="13"/>
      <c r="G371" s="81"/>
      <c r="H371" s="13"/>
      <c r="I371" s="13"/>
      <c r="J371" s="13"/>
      <c r="K371" s="13"/>
      <c r="L371" s="13"/>
      <c r="M371" s="13"/>
      <c r="N371" s="13"/>
      <c r="O371" s="74"/>
      <c r="P371" s="13"/>
      <c r="Q371" s="13"/>
      <c r="R371" s="13"/>
      <c r="S371" s="88">
        <v>0</v>
      </c>
      <c r="T371" s="13"/>
      <c r="U371" s="13"/>
      <c r="V371" s="88">
        <v>0</v>
      </c>
    </row>
    <row r="372" spans="1:22" ht="45">
      <c r="A372" s="100" t="s">
        <v>129</v>
      </c>
      <c r="B372" s="102" t="s">
        <v>428</v>
      </c>
      <c r="C372" s="13"/>
      <c r="D372" s="13"/>
      <c r="E372" s="77"/>
      <c r="F372" s="13"/>
      <c r="G372" s="81"/>
      <c r="H372" s="13"/>
      <c r="I372" s="13"/>
      <c r="J372" s="13"/>
      <c r="K372" s="13"/>
      <c r="L372" s="13"/>
      <c r="M372" s="13"/>
      <c r="N372" s="13"/>
      <c r="O372" s="74"/>
      <c r="P372" s="13"/>
      <c r="Q372" s="13"/>
      <c r="R372" s="13"/>
      <c r="S372" s="88"/>
      <c r="T372" s="13"/>
      <c r="U372" s="13"/>
      <c r="V372" s="88"/>
    </row>
    <row r="373" spans="1:22" ht="60">
      <c r="A373" s="100" t="s">
        <v>139</v>
      </c>
      <c r="B373" s="102" t="s">
        <v>429</v>
      </c>
      <c r="C373" s="13"/>
      <c r="D373" s="13"/>
      <c r="E373" s="77"/>
      <c r="F373" s="13"/>
      <c r="G373" s="81"/>
      <c r="H373" s="13"/>
      <c r="I373" s="13"/>
      <c r="J373" s="13"/>
      <c r="K373" s="13"/>
      <c r="L373" s="13"/>
      <c r="M373" s="13"/>
      <c r="N373" s="13"/>
      <c r="O373" s="74"/>
      <c r="P373" s="13"/>
      <c r="Q373" s="13"/>
      <c r="R373" s="13"/>
      <c r="S373" s="88"/>
      <c r="T373" s="13"/>
      <c r="U373" s="13"/>
      <c r="V373" s="88"/>
    </row>
    <row r="374" spans="1:22" ht="45">
      <c r="A374" s="100" t="s">
        <v>141</v>
      </c>
      <c r="B374" s="102" t="s">
        <v>430</v>
      </c>
      <c r="C374" s="13"/>
      <c r="D374" s="13"/>
      <c r="E374" s="77"/>
      <c r="F374" s="13"/>
      <c r="G374" s="81"/>
      <c r="H374" s="13"/>
      <c r="I374" s="13"/>
      <c r="J374" s="13"/>
      <c r="K374" s="13"/>
      <c r="L374" s="13"/>
      <c r="M374" s="13"/>
      <c r="N374" s="13"/>
      <c r="O374" s="74"/>
      <c r="P374" s="13"/>
      <c r="Q374" s="13"/>
      <c r="R374" s="13"/>
      <c r="S374" s="88"/>
      <c r="T374" s="13"/>
      <c r="U374" s="13"/>
      <c r="V374" s="88"/>
    </row>
    <row r="375" spans="1:22" ht="60">
      <c r="A375" s="100" t="s">
        <v>143</v>
      </c>
      <c r="B375" s="102" t="s">
        <v>431</v>
      </c>
      <c r="C375" s="13"/>
      <c r="D375" s="13"/>
      <c r="E375" s="77"/>
      <c r="F375" s="13"/>
      <c r="G375" s="81"/>
      <c r="H375" s="13"/>
      <c r="I375" s="13"/>
      <c r="J375" s="13"/>
      <c r="K375" s="13"/>
      <c r="L375" s="13"/>
      <c r="M375" s="13"/>
      <c r="N375" s="13"/>
      <c r="O375" s="74"/>
      <c r="P375" s="13"/>
      <c r="Q375" s="13"/>
      <c r="R375" s="13"/>
      <c r="S375" s="88"/>
      <c r="T375" s="13"/>
      <c r="U375" s="13"/>
      <c r="V375" s="88"/>
    </row>
    <row r="376" spans="1:22" ht="45">
      <c r="A376" s="100" t="s">
        <v>145</v>
      </c>
      <c r="B376" s="102" t="s">
        <v>432</v>
      </c>
      <c r="C376" s="13"/>
      <c r="D376" s="13"/>
      <c r="E376" s="77"/>
      <c r="F376" s="13"/>
      <c r="G376" s="81"/>
      <c r="H376" s="13"/>
      <c r="I376" s="13"/>
      <c r="J376" s="13"/>
      <c r="K376" s="13"/>
      <c r="L376" s="13"/>
      <c r="M376" s="13"/>
      <c r="N376" s="13"/>
      <c r="O376" s="74"/>
      <c r="P376" s="13"/>
      <c r="Q376" s="13"/>
      <c r="R376" s="13"/>
      <c r="S376" s="88"/>
      <c r="T376" s="13"/>
      <c r="U376" s="13"/>
      <c r="V376" s="88"/>
    </row>
    <row r="377" spans="1:22" ht="45">
      <c r="A377" s="100" t="s">
        <v>147</v>
      </c>
      <c r="B377" s="102" t="s">
        <v>433</v>
      </c>
      <c r="C377" s="13"/>
      <c r="D377" s="13"/>
      <c r="E377" s="77"/>
      <c r="F377" s="13"/>
      <c r="G377" s="81"/>
      <c r="H377" s="13"/>
      <c r="I377" s="13"/>
      <c r="J377" s="13"/>
      <c r="K377" s="13"/>
      <c r="L377" s="13"/>
      <c r="M377" s="13"/>
      <c r="N377" s="13"/>
      <c r="O377" s="74"/>
      <c r="P377" s="13"/>
      <c r="Q377" s="13"/>
      <c r="R377" s="13"/>
      <c r="S377" s="88"/>
      <c r="T377" s="13"/>
      <c r="U377" s="13"/>
      <c r="V377" s="88"/>
    </row>
    <row r="378" spans="1:22" ht="45">
      <c r="A378" s="100" t="s">
        <v>148</v>
      </c>
      <c r="B378" s="102" t="s">
        <v>434</v>
      </c>
      <c r="C378" s="13"/>
      <c r="D378" s="13"/>
      <c r="E378" s="77"/>
      <c r="F378" s="13"/>
      <c r="G378" s="81"/>
      <c r="H378" s="13"/>
      <c r="I378" s="13"/>
      <c r="J378" s="13"/>
      <c r="K378" s="13"/>
      <c r="L378" s="13"/>
      <c r="M378" s="13"/>
      <c r="N378" s="13"/>
      <c r="O378" s="74"/>
      <c r="P378" s="13"/>
      <c r="Q378" s="13"/>
      <c r="R378" s="13"/>
      <c r="S378" s="88"/>
      <c r="T378" s="13"/>
      <c r="U378" s="13"/>
      <c r="V378" s="88"/>
    </row>
    <row r="379" spans="1:22" ht="30">
      <c r="A379" s="100" t="s">
        <v>150</v>
      </c>
      <c r="B379" s="102" t="s">
        <v>435</v>
      </c>
      <c r="C379" s="13"/>
      <c r="D379" s="13"/>
      <c r="E379" s="77"/>
      <c r="F379" s="13"/>
      <c r="G379" s="81"/>
      <c r="H379" s="13"/>
      <c r="I379" s="13"/>
      <c r="J379" s="13"/>
      <c r="K379" s="13"/>
      <c r="L379" s="13"/>
      <c r="M379" s="13"/>
      <c r="N379" s="13"/>
      <c r="O379" s="74"/>
      <c r="P379" s="13"/>
      <c r="Q379" s="13"/>
      <c r="R379" s="13"/>
      <c r="S379" s="88"/>
      <c r="T379" s="13"/>
      <c r="U379" s="13"/>
      <c r="V379" s="88"/>
    </row>
    <row r="380" spans="1:22" ht="30">
      <c r="A380" s="100" t="s">
        <v>152</v>
      </c>
      <c r="B380" s="102" t="s">
        <v>436</v>
      </c>
      <c r="C380" s="13"/>
      <c r="D380" s="13"/>
      <c r="E380" s="77"/>
      <c r="F380" s="13"/>
      <c r="G380" s="81"/>
      <c r="H380" s="13"/>
      <c r="I380" s="13"/>
      <c r="J380" s="13"/>
      <c r="K380" s="13"/>
      <c r="L380" s="13"/>
      <c r="M380" s="13"/>
      <c r="N380" s="13"/>
      <c r="O380" s="74"/>
      <c r="P380" s="13"/>
      <c r="Q380" s="13"/>
      <c r="R380" s="13"/>
      <c r="S380" s="88"/>
      <c r="T380" s="13"/>
      <c r="U380" s="13"/>
      <c r="V380" s="88"/>
    </row>
    <row r="381" spans="1:22" ht="30">
      <c r="A381" s="100" t="s">
        <v>338</v>
      </c>
      <c r="B381" s="102" t="s">
        <v>437</v>
      </c>
      <c r="C381" s="13"/>
      <c r="D381" s="13"/>
      <c r="E381" s="77"/>
      <c r="F381" s="13"/>
      <c r="G381" s="81"/>
      <c r="H381" s="13"/>
      <c r="I381" s="13"/>
      <c r="J381" s="13"/>
      <c r="K381" s="13"/>
      <c r="L381" s="13"/>
      <c r="M381" s="13"/>
      <c r="N381" s="13"/>
      <c r="O381" s="74"/>
      <c r="P381" s="13"/>
      <c r="Q381" s="13"/>
      <c r="R381" s="13"/>
      <c r="S381" s="88"/>
      <c r="T381" s="13"/>
      <c r="U381" s="13"/>
      <c r="V381" s="88"/>
    </row>
    <row r="382" spans="1:22" ht="45">
      <c r="A382" s="100" t="s">
        <v>340</v>
      </c>
      <c r="B382" s="102" t="s">
        <v>438</v>
      </c>
      <c r="C382" s="13"/>
      <c r="D382" s="13"/>
      <c r="E382" s="77"/>
      <c r="F382" s="13"/>
      <c r="G382" s="81"/>
      <c r="H382" s="13"/>
      <c r="I382" s="13"/>
      <c r="J382" s="13"/>
      <c r="K382" s="13"/>
      <c r="L382" s="13"/>
      <c r="M382" s="13"/>
      <c r="N382" s="13"/>
      <c r="O382" s="74"/>
      <c r="P382" s="13"/>
      <c r="Q382" s="13"/>
      <c r="R382" s="13"/>
      <c r="S382" s="88"/>
      <c r="T382" s="13"/>
      <c r="U382" s="13"/>
      <c r="V382" s="88"/>
    </row>
    <row r="383" spans="1:22" ht="30">
      <c r="A383" s="100" t="s">
        <v>342</v>
      </c>
      <c r="B383" s="102" t="s">
        <v>439</v>
      </c>
      <c r="C383" s="13"/>
      <c r="D383" s="13"/>
      <c r="E383" s="77"/>
      <c r="F383" s="13"/>
      <c r="G383" s="81"/>
      <c r="H383" s="13"/>
      <c r="I383" s="13"/>
      <c r="J383" s="13"/>
      <c r="K383" s="13"/>
      <c r="L383" s="13"/>
      <c r="M383" s="13"/>
      <c r="N383" s="13"/>
      <c r="O383" s="74"/>
      <c r="P383" s="13"/>
      <c r="Q383" s="13"/>
      <c r="R383" s="13"/>
      <c r="S383" s="88"/>
      <c r="T383" s="13"/>
      <c r="U383" s="13"/>
      <c r="V383" s="88"/>
    </row>
    <row r="384" spans="1:22" ht="30">
      <c r="A384" s="100" t="s">
        <v>344</v>
      </c>
      <c r="B384" s="102" t="s">
        <v>440</v>
      </c>
      <c r="C384" s="13"/>
      <c r="D384" s="13"/>
      <c r="E384" s="77"/>
      <c r="F384" s="13"/>
      <c r="G384" s="81"/>
      <c r="H384" s="13"/>
      <c r="I384" s="13"/>
      <c r="J384" s="13"/>
      <c r="K384" s="13"/>
      <c r="L384" s="13"/>
      <c r="M384" s="13"/>
      <c r="N384" s="13"/>
      <c r="O384" s="74"/>
      <c r="P384" s="13"/>
      <c r="Q384" s="13"/>
      <c r="R384" s="13"/>
      <c r="S384" s="88"/>
      <c r="T384" s="13"/>
      <c r="U384" s="13"/>
      <c r="V384" s="88"/>
    </row>
    <row r="385" spans="1:22" ht="30">
      <c r="A385" s="100" t="s">
        <v>346</v>
      </c>
      <c r="B385" s="102" t="s">
        <v>441</v>
      </c>
      <c r="C385" s="13"/>
      <c r="D385" s="13"/>
      <c r="E385" s="77"/>
      <c r="F385" s="13"/>
      <c r="G385" s="81"/>
      <c r="H385" s="13"/>
      <c r="I385" s="13"/>
      <c r="J385" s="13"/>
      <c r="K385" s="13"/>
      <c r="L385" s="13"/>
      <c r="M385" s="13"/>
      <c r="N385" s="13"/>
      <c r="O385" s="74"/>
      <c r="P385" s="13"/>
      <c r="Q385" s="13"/>
      <c r="R385" s="13"/>
      <c r="S385" s="88"/>
      <c r="T385" s="13"/>
      <c r="U385" s="13"/>
      <c r="V385" s="88"/>
    </row>
    <row r="386" spans="1:22" ht="30">
      <c r="A386" s="100" t="s">
        <v>348</v>
      </c>
      <c r="B386" s="102" t="s">
        <v>442</v>
      </c>
      <c r="C386" s="13"/>
      <c r="D386" s="13"/>
      <c r="E386" s="77"/>
      <c r="F386" s="13"/>
      <c r="G386" s="81"/>
      <c r="H386" s="13"/>
      <c r="I386" s="13"/>
      <c r="J386" s="13"/>
      <c r="K386" s="13"/>
      <c r="L386" s="13"/>
      <c r="M386" s="13"/>
      <c r="N386" s="13"/>
      <c r="O386" s="74"/>
      <c r="P386" s="13"/>
      <c r="Q386" s="13"/>
      <c r="R386" s="13"/>
      <c r="S386" s="88"/>
      <c r="T386" s="13"/>
      <c r="U386" s="13"/>
      <c r="V386" s="88"/>
    </row>
    <row r="387" spans="1:22" ht="30">
      <c r="A387" s="100" t="s">
        <v>350</v>
      </c>
      <c r="B387" s="102" t="s">
        <v>443</v>
      </c>
      <c r="C387" s="13"/>
      <c r="D387" s="13"/>
      <c r="E387" s="77"/>
      <c r="F387" s="13"/>
      <c r="G387" s="81"/>
      <c r="H387" s="13"/>
      <c r="I387" s="13"/>
      <c r="J387" s="13"/>
      <c r="K387" s="13"/>
      <c r="L387" s="13"/>
      <c r="M387" s="13"/>
      <c r="N387" s="13"/>
      <c r="O387" s="74"/>
      <c r="P387" s="13"/>
      <c r="Q387" s="13"/>
      <c r="R387" s="13"/>
      <c r="S387" s="88"/>
      <c r="T387" s="13"/>
      <c r="U387" s="13"/>
      <c r="V387" s="88"/>
    </row>
    <row r="388" spans="1:22" ht="30">
      <c r="A388" s="100" t="s">
        <v>352</v>
      </c>
      <c r="B388" s="102" t="s">
        <v>444</v>
      </c>
      <c r="C388" s="13"/>
      <c r="D388" s="13"/>
      <c r="E388" s="77"/>
      <c r="F388" s="13"/>
      <c r="G388" s="81"/>
      <c r="H388" s="13"/>
      <c r="I388" s="13"/>
      <c r="J388" s="13"/>
      <c r="K388" s="13"/>
      <c r="L388" s="13"/>
      <c r="M388" s="13"/>
      <c r="N388" s="13"/>
      <c r="O388" s="74"/>
      <c r="P388" s="13"/>
      <c r="Q388" s="13"/>
      <c r="R388" s="13"/>
      <c r="S388" s="88"/>
      <c r="T388" s="13"/>
      <c r="U388" s="13"/>
      <c r="V388" s="88"/>
    </row>
    <row r="389" spans="1:22" ht="45">
      <c r="A389" s="100" t="s">
        <v>354</v>
      </c>
      <c r="B389" s="102" t="s">
        <v>445</v>
      </c>
      <c r="C389" s="13"/>
      <c r="D389" s="13"/>
      <c r="E389" s="77"/>
      <c r="F389" s="13"/>
      <c r="G389" s="81"/>
      <c r="H389" s="13"/>
      <c r="I389" s="13"/>
      <c r="J389" s="13"/>
      <c r="K389" s="13"/>
      <c r="L389" s="13"/>
      <c r="M389" s="13"/>
      <c r="N389" s="13"/>
      <c r="O389" s="74"/>
      <c r="P389" s="13"/>
      <c r="Q389" s="13"/>
      <c r="R389" s="13"/>
      <c r="S389" s="88"/>
      <c r="T389" s="13"/>
      <c r="U389" s="13"/>
      <c r="V389" s="88"/>
    </row>
    <row r="390" spans="1:22" ht="30">
      <c r="A390" s="100" t="s">
        <v>356</v>
      </c>
      <c r="B390" s="102" t="s">
        <v>446</v>
      </c>
      <c r="C390" s="13"/>
      <c r="D390" s="13"/>
      <c r="E390" s="77"/>
      <c r="F390" s="13"/>
      <c r="G390" s="81"/>
      <c r="H390" s="13"/>
      <c r="I390" s="13"/>
      <c r="J390" s="13"/>
      <c r="K390" s="13"/>
      <c r="L390" s="13"/>
      <c r="M390" s="13"/>
      <c r="N390" s="13"/>
      <c r="O390" s="74"/>
      <c r="P390" s="13"/>
      <c r="Q390" s="13"/>
      <c r="R390" s="13"/>
      <c r="S390" s="88"/>
      <c r="T390" s="13"/>
      <c r="U390" s="13"/>
      <c r="V390" s="88"/>
    </row>
    <row r="391" spans="1:22" ht="45">
      <c r="A391" s="100" t="s">
        <v>358</v>
      </c>
      <c r="B391" s="102" t="s">
        <v>447</v>
      </c>
      <c r="C391" s="13"/>
      <c r="D391" s="13"/>
      <c r="E391" s="77"/>
      <c r="F391" s="13"/>
      <c r="G391" s="81"/>
      <c r="H391" s="13"/>
      <c r="I391" s="13"/>
      <c r="J391" s="13"/>
      <c r="K391" s="13"/>
      <c r="L391" s="13"/>
      <c r="M391" s="13"/>
      <c r="N391" s="13"/>
      <c r="O391" s="74"/>
      <c r="P391" s="13"/>
      <c r="Q391" s="13"/>
      <c r="R391" s="13"/>
      <c r="S391" s="88"/>
      <c r="T391" s="13"/>
      <c r="U391" s="13"/>
      <c r="V391" s="88"/>
    </row>
    <row r="392" spans="1:22" ht="30">
      <c r="A392" s="100" t="s">
        <v>360</v>
      </c>
      <c r="B392" s="102" t="s">
        <v>448</v>
      </c>
      <c r="C392" s="13"/>
      <c r="D392" s="13"/>
      <c r="E392" s="77"/>
      <c r="F392" s="13"/>
      <c r="G392" s="81"/>
      <c r="H392" s="13"/>
      <c r="I392" s="13"/>
      <c r="J392" s="13"/>
      <c r="K392" s="13"/>
      <c r="L392" s="13"/>
      <c r="M392" s="13"/>
      <c r="N392" s="13"/>
      <c r="O392" s="74"/>
      <c r="P392" s="13"/>
      <c r="Q392" s="13"/>
      <c r="R392" s="13"/>
      <c r="S392" s="88"/>
      <c r="T392" s="13"/>
      <c r="U392" s="13"/>
      <c r="V392" s="88"/>
    </row>
    <row r="393" spans="1:22" ht="15">
      <c r="A393" s="100" t="s">
        <v>362</v>
      </c>
      <c r="B393" s="102" t="s">
        <v>449</v>
      </c>
      <c r="C393" s="13"/>
      <c r="D393" s="13"/>
      <c r="E393" s="77"/>
      <c r="F393" s="13"/>
      <c r="G393" s="81"/>
      <c r="H393" s="13"/>
      <c r="I393" s="13"/>
      <c r="J393" s="13"/>
      <c r="K393" s="13"/>
      <c r="L393" s="13"/>
      <c r="M393" s="13"/>
      <c r="N393" s="13"/>
      <c r="O393" s="74"/>
      <c r="P393" s="13"/>
      <c r="Q393" s="13"/>
      <c r="R393" s="13"/>
      <c r="S393" s="88"/>
      <c r="T393" s="13"/>
      <c r="U393" s="13"/>
      <c r="V393" s="88"/>
    </row>
    <row r="394" spans="1:22" ht="30">
      <c r="A394" s="100" t="s">
        <v>364</v>
      </c>
      <c r="B394" s="102" t="s">
        <v>450</v>
      </c>
      <c r="C394" s="13"/>
      <c r="D394" s="13"/>
      <c r="E394" s="77"/>
      <c r="F394" s="13"/>
      <c r="G394" s="81"/>
      <c r="H394" s="13"/>
      <c r="I394" s="13"/>
      <c r="J394" s="13"/>
      <c r="K394" s="13"/>
      <c r="L394" s="13"/>
      <c r="M394" s="13"/>
      <c r="N394" s="13"/>
      <c r="O394" s="74"/>
      <c r="P394" s="13"/>
      <c r="Q394" s="13"/>
      <c r="R394" s="13"/>
      <c r="S394" s="88"/>
      <c r="T394" s="13"/>
      <c r="U394" s="13"/>
      <c r="V394" s="88"/>
    </row>
    <row r="395" spans="1:22" ht="30">
      <c r="A395" s="100" t="s">
        <v>366</v>
      </c>
      <c r="B395" s="102" t="s">
        <v>451</v>
      </c>
      <c r="C395" s="13"/>
      <c r="D395" s="13"/>
      <c r="E395" s="77"/>
      <c r="F395" s="13"/>
      <c r="G395" s="81"/>
      <c r="H395" s="13"/>
      <c r="I395" s="13"/>
      <c r="J395" s="13"/>
      <c r="K395" s="13"/>
      <c r="L395" s="13"/>
      <c r="M395" s="13"/>
      <c r="N395" s="13"/>
      <c r="O395" s="74"/>
      <c r="P395" s="13"/>
      <c r="Q395" s="13"/>
      <c r="R395" s="13"/>
      <c r="S395" s="88"/>
      <c r="T395" s="13"/>
      <c r="U395" s="13"/>
      <c r="V395" s="88"/>
    </row>
    <row r="396" spans="1:22" ht="30">
      <c r="A396" s="100" t="s">
        <v>368</v>
      </c>
      <c r="B396" s="102" t="s">
        <v>452</v>
      </c>
      <c r="C396" s="13"/>
      <c r="D396" s="13"/>
      <c r="E396" s="77"/>
      <c r="F396" s="13"/>
      <c r="G396" s="81"/>
      <c r="H396" s="13"/>
      <c r="I396" s="13"/>
      <c r="J396" s="13"/>
      <c r="K396" s="13"/>
      <c r="L396" s="13"/>
      <c r="M396" s="13"/>
      <c r="N396" s="13"/>
      <c r="O396" s="74"/>
      <c r="P396" s="13"/>
      <c r="Q396" s="13"/>
      <c r="R396" s="13"/>
      <c r="S396" s="88"/>
      <c r="T396" s="13"/>
      <c r="U396" s="13"/>
      <c r="V396" s="88"/>
    </row>
    <row r="397" spans="1:22" ht="15">
      <c r="A397" s="62" t="s">
        <v>453</v>
      </c>
      <c r="B397" s="111" t="s">
        <v>157</v>
      </c>
      <c r="C397" s="13"/>
      <c r="D397" s="13"/>
      <c r="E397" s="77"/>
      <c r="F397" s="13"/>
      <c r="G397" s="59">
        <f>SUM(G398:G402)</f>
        <v>0</v>
      </c>
      <c r="H397" s="13"/>
      <c r="I397" s="13"/>
      <c r="J397" s="13"/>
      <c r="K397" s="13"/>
      <c r="L397" s="13"/>
      <c r="M397" s="13"/>
      <c r="N397" s="13"/>
      <c r="O397" s="59">
        <f>SUM(O398:O402)</f>
        <v>0</v>
      </c>
      <c r="P397" s="13"/>
      <c r="Q397" s="13"/>
      <c r="R397" s="13"/>
      <c r="S397" s="59">
        <v>0</v>
      </c>
      <c r="T397" s="13"/>
      <c r="U397" s="13"/>
      <c r="V397" s="59">
        <v>0</v>
      </c>
    </row>
    <row r="398" spans="1:22" ht="45">
      <c r="A398" s="100" t="s">
        <v>89</v>
      </c>
      <c r="B398" s="90" t="s">
        <v>454</v>
      </c>
      <c r="C398" s="13"/>
      <c r="D398" s="13"/>
      <c r="E398" s="77"/>
      <c r="F398" s="13"/>
      <c r="G398" s="81"/>
      <c r="H398" s="13"/>
      <c r="I398" s="13"/>
      <c r="J398" s="13"/>
      <c r="K398" s="13"/>
      <c r="L398" s="13"/>
      <c r="M398" s="13"/>
      <c r="N398" s="13"/>
      <c r="O398" s="74"/>
      <c r="P398" s="13"/>
      <c r="Q398" s="13"/>
      <c r="R398" s="13"/>
      <c r="S398" s="88"/>
      <c r="T398" s="13"/>
      <c r="U398" s="13"/>
      <c r="V398" s="88"/>
    </row>
    <row r="399" spans="1:22" ht="45">
      <c r="A399" s="100" t="s">
        <v>91</v>
      </c>
      <c r="B399" s="102" t="s">
        <v>455</v>
      </c>
      <c r="C399" s="13"/>
      <c r="D399" s="13"/>
      <c r="E399" s="77"/>
      <c r="F399" s="13"/>
      <c r="G399" s="81"/>
      <c r="H399" s="13"/>
      <c r="I399" s="13"/>
      <c r="J399" s="13"/>
      <c r="K399" s="13"/>
      <c r="L399" s="13"/>
      <c r="M399" s="13"/>
      <c r="N399" s="13"/>
      <c r="O399" s="74"/>
      <c r="P399" s="13"/>
      <c r="Q399" s="13"/>
      <c r="R399" s="13"/>
      <c r="S399" s="88"/>
      <c r="T399" s="13"/>
      <c r="U399" s="13"/>
      <c r="V399" s="88"/>
    </row>
    <row r="400" spans="1:22" ht="60">
      <c r="A400" s="100" t="s">
        <v>93</v>
      </c>
      <c r="B400" s="102" t="s">
        <v>456</v>
      </c>
      <c r="C400" s="13"/>
      <c r="D400" s="13"/>
      <c r="E400" s="77"/>
      <c r="F400" s="13"/>
      <c r="G400" s="81"/>
      <c r="H400" s="13"/>
      <c r="I400" s="13"/>
      <c r="J400" s="13"/>
      <c r="K400" s="13"/>
      <c r="L400" s="13"/>
      <c r="M400" s="13"/>
      <c r="N400" s="13"/>
      <c r="O400" s="74"/>
      <c r="P400" s="13"/>
      <c r="Q400" s="13"/>
      <c r="R400" s="13"/>
      <c r="S400" s="88"/>
      <c r="T400" s="13"/>
      <c r="U400" s="13"/>
      <c r="V400" s="88"/>
    </row>
    <row r="401" spans="1:22" ht="45">
      <c r="A401" s="100" t="s">
        <v>95</v>
      </c>
      <c r="B401" s="102" t="s">
        <v>457</v>
      </c>
      <c r="C401" s="13"/>
      <c r="D401" s="13"/>
      <c r="E401" s="77"/>
      <c r="F401" s="13"/>
      <c r="G401" s="81"/>
      <c r="H401" s="13"/>
      <c r="I401" s="13"/>
      <c r="J401" s="13"/>
      <c r="K401" s="13"/>
      <c r="L401" s="13"/>
      <c r="M401" s="13"/>
      <c r="N401" s="13"/>
      <c r="O401" s="74"/>
      <c r="P401" s="13"/>
      <c r="Q401" s="13"/>
      <c r="R401" s="13"/>
      <c r="S401" s="88"/>
      <c r="T401" s="13"/>
      <c r="U401" s="13"/>
      <c r="V401" s="88"/>
    </row>
    <row r="402" spans="1:22" ht="60">
      <c r="A402" s="100" t="s">
        <v>97</v>
      </c>
      <c r="B402" s="102" t="s">
        <v>458</v>
      </c>
      <c r="C402" s="13"/>
      <c r="D402" s="13"/>
      <c r="E402" s="77"/>
      <c r="F402" s="13"/>
      <c r="G402" s="81"/>
      <c r="H402" s="13"/>
      <c r="I402" s="13"/>
      <c r="J402" s="13"/>
      <c r="K402" s="13"/>
      <c r="L402" s="13"/>
      <c r="M402" s="13"/>
      <c r="N402" s="13"/>
      <c r="O402" s="74"/>
      <c r="P402" s="13"/>
      <c r="Q402" s="13"/>
      <c r="R402" s="13"/>
      <c r="S402" s="88"/>
      <c r="T402" s="13"/>
      <c r="U402" s="13"/>
      <c r="V402" s="88"/>
    </row>
    <row r="403" spans="1:22" ht="15">
      <c r="A403" s="62" t="s">
        <v>459</v>
      </c>
      <c r="B403" s="111" t="s">
        <v>460</v>
      </c>
      <c r="C403" s="13"/>
      <c r="D403" s="13"/>
      <c r="E403" s="77"/>
      <c r="F403" s="13"/>
      <c r="G403" s="59">
        <f>SUM(G404:G408)</f>
        <v>0</v>
      </c>
      <c r="H403" s="13"/>
      <c r="I403" s="13"/>
      <c r="J403" s="13"/>
      <c r="K403" s="13"/>
      <c r="L403" s="13"/>
      <c r="M403" s="13"/>
      <c r="N403" s="13"/>
      <c r="O403" s="59">
        <f>SUM(O404:O408)</f>
        <v>100</v>
      </c>
      <c r="P403" s="13"/>
      <c r="Q403" s="13"/>
      <c r="R403" s="13"/>
      <c r="S403" s="59">
        <v>0</v>
      </c>
      <c r="T403" s="13"/>
      <c r="U403" s="13"/>
      <c r="V403" s="59">
        <v>0</v>
      </c>
    </row>
    <row r="404" spans="1:22" ht="30">
      <c r="A404" s="100" t="s">
        <v>89</v>
      </c>
      <c r="B404" s="137" t="s">
        <v>461</v>
      </c>
      <c r="C404" s="13"/>
      <c r="D404" s="13"/>
      <c r="E404" s="67" t="s">
        <v>520</v>
      </c>
      <c r="F404" s="13"/>
      <c r="G404" s="81"/>
      <c r="H404" s="13"/>
      <c r="I404" s="13"/>
      <c r="J404" s="13"/>
      <c r="K404" s="13"/>
      <c r="L404" s="13"/>
      <c r="M404" s="13"/>
      <c r="N404" s="13"/>
      <c r="O404" s="74">
        <f>100</f>
        <v>100</v>
      </c>
      <c r="P404" s="13"/>
      <c r="Q404" s="13"/>
      <c r="R404" s="13"/>
      <c r="S404" s="88">
        <v>0</v>
      </c>
      <c r="T404" s="13"/>
      <c r="U404" s="13"/>
      <c r="V404" s="88">
        <v>0</v>
      </c>
    </row>
    <row r="405" spans="1:22" ht="30">
      <c r="A405" s="100" t="s">
        <v>91</v>
      </c>
      <c r="B405" s="137" t="s">
        <v>462</v>
      </c>
      <c r="C405" s="13"/>
      <c r="D405" s="13"/>
      <c r="E405" s="67"/>
      <c r="F405" s="13"/>
      <c r="G405" s="81"/>
      <c r="H405" s="13"/>
      <c r="I405" s="13"/>
      <c r="J405" s="13"/>
      <c r="K405" s="13"/>
      <c r="L405" s="13"/>
      <c r="M405" s="13"/>
      <c r="N405" s="13"/>
      <c r="O405" s="74"/>
      <c r="P405" s="13"/>
      <c r="Q405" s="13"/>
      <c r="R405" s="13"/>
      <c r="S405" s="88"/>
      <c r="T405" s="13"/>
      <c r="U405" s="13"/>
      <c r="V405" s="88"/>
    </row>
    <row r="406" spans="1:22" ht="60">
      <c r="A406" s="100" t="s">
        <v>93</v>
      </c>
      <c r="B406" s="137" t="s">
        <v>463</v>
      </c>
      <c r="C406" s="13"/>
      <c r="D406" s="13"/>
      <c r="E406" s="67"/>
      <c r="F406" s="13"/>
      <c r="G406" s="81"/>
      <c r="H406" s="13"/>
      <c r="I406" s="13"/>
      <c r="J406" s="13"/>
      <c r="K406" s="13"/>
      <c r="L406" s="13"/>
      <c r="M406" s="13"/>
      <c r="N406" s="13"/>
      <c r="O406" s="74"/>
      <c r="P406" s="13"/>
      <c r="Q406" s="13"/>
      <c r="R406" s="13"/>
      <c r="S406" s="88"/>
      <c r="T406" s="13"/>
      <c r="U406" s="13"/>
      <c r="V406" s="88"/>
    </row>
    <row r="407" spans="1:22" ht="30">
      <c r="A407" s="100" t="s">
        <v>95</v>
      </c>
      <c r="B407" s="137" t="s">
        <v>464</v>
      </c>
      <c r="C407" s="13"/>
      <c r="D407" s="13"/>
      <c r="E407" s="67"/>
      <c r="F407" s="13"/>
      <c r="G407" s="81"/>
      <c r="H407" s="13"/>
      <c r="I407" s="13"/>
      <c r="J407" s="13"/>
      <c r="K407" s="13"/>
      <c r="L407" s="13"/>
      <c r="M407" s="13"/>
      <c r="N407" s="13"/>
      <c r="O407" s="74"/>
      <c r="P407" s="13"/>
      <c r="Q407" s="13"/>
      <c r="R407" s="13"/>
      <c r="S407" s="88"/>
      <c r="T407" s="13"/>
      <c r="U407" s="13"/>
      <c r="V407" s="88"/>
    </row>
    <row r="408" spans="1:22" ht="30">
      <c r="A408" s="100" t="s">
        <v>97</v>
      </c>
      <c r="B408" s="137" t="s">
        <v>465</v>
      </c>
      <c r="C408" s="13"/>
      <c r="D408" s="13"/>
      <c r="E408" s="67"/>
      <c r="F408" s="13"/>
      <c r="G408" s="81"/>
      <c r="H408" s="13"/>
      <c r="I408" s="13"/>
      <c r="J408" s="13"/>
      <c r="K408" s="13"/>
      <c r="L408" s="13"/>
      <c r="M408" s="13"/>
      <c r="N408" s="13"/>
      <c r="O408" s="74"/>
      <c r="P408" s="13"/>
      <c r="Q408" s="13"/>
      <c r="R408" s="13"/>
      <c r="S408" s="88"/>
      <c r="T408" s="13"/>
      <c r="U408" s="13"/>
      <c r="V408" s="88"/>
    </row>
    <row r="409" spans="1:22" ht="28.5">
      <c r="A409" s="62" t="s">
        <v>466</v>
      </c>
      <c r="B409" s="111" t="s">
        <v>291</v>
      </c>
      <c r="C409" s="13"/>
      <c r="D409" s="13"/>
      <c r="E409" s="77"/>
      <c r="F409" s="13"/>
      <c r="G409" s="59">
        <f>SUM(G410:G421)</f>
        <v>0</v>
      </c>
      <c r="H409" s="13"/>
      <c r="I409" s="13"/>
      <c r="J409" s="13"/>
      <c r="K409" s="13"/>
      <c r="L409" s="13"/>
      <c r="M409" s="13"/>
      <c r="N409" s="13"/>
      <c r="O409" s="59">
        <f>SUM(O410:O421)</f>
        <v>0</v>
      </c>
      <c r="P409" s="13"/>
      <c r="Q409" s="13"/>
      <c r="R409" s="13"/>
      <c r="S409" s="59">
        <v>1500</v>
      </c>
      <c r="T409" s="13"/>
      <c r="U409" s="13"/>
      <c r="V409" s="59">
        <v>1500</v>
      </c>
    </row>
    <row r="410" spans="1:22" ht="30">
      <c r="A410" s="100" t="s">
        <v>89</v>
      </c>
      <c r="B410" s="138" t="s">
        <v>467</v>
      </c>
      <c r="C410" s="13"/>
      <c r="D410" s="13"/>
      <c r="E410" s="77"/>
      <c r="F410" s="13"/>
      <c r="G410" s="82"/>
      <c r="H410" s="13"/>
      <c r="I410" s="13"/>
      <c r="J410" s="13"/>
      <c r="K410" s="13"/>
      <c r="L410" s="13"/>
      <c r="M410" s="13"/>
      <c r="N410" s="13"/>
      <c r="O410" s="59"/>
      <c r="P410" s="13"/>
      <c r="Q410" s="13"/>
      <c r="R410" s="13"/>
      <c r="S410" s="82">
        <v>0</v>
      </c>
      <c r="T410" s="13"/>
      <c r="U410" s="13"/>
      <c r="V410" s="82">
        <v>0</v>
      </c>
    </row>
    <row r="411" spans="1:22" ht="60">
      <c r="A411" s="100" t="s">
        <v>91</v>
      </c>
      <c r="B411" s="83" t="s">
        <v>73</v>
      </c>
      <c r="C411" s="13"/>
      <c r="D411" s="13"/>
      <c r="E411" s="67"/>
      <c r="F411" s="13"/>
      <c r="G411" s="81"/>
      <c r="H411" s="13"/>
      <c r="I411" s="13"/>
      <c r="J411" s="13"/>
      <c r="K411" s="13"/>
      <c r="L411" s="13"/>
      <c r="M411" s="13"/>
      <c r="N411" s="13"/>
      <c r="O411" s="74">
        <f>100-100+1500-1500</f>
        <v>0</v>
      </c>
      <c r="P411" s="13"/>
      <c r="Q411" s="13"/>
      <c r="R411" s="13"/>
      <c r="S411" s="82">
        <v>1500</v>
      </c>
      <c r="T411" s="13"/>
      <c r="U411" s="13"/>
      <c r="V411" s="82">
        <v>1500</v>
      </c>
    </row>
    <row r="412" spans="1:22" ht="30">
      <c r="A412" s="100" t="s">
        <v>93</v>
      </c>
      <c r="B412" s="83" t="s">
        <v>468</v>
      </c>
      <c r="C412" s="13"/>
      <c r="D412" s="13"/>
      <c r="E412" s="71"/>
      <c r="F412" s="13"/>
      <c r="G412" s="129"/>
      <c r="H412" s="13"/>
      <c r="I412" s="13"/>
      <c r="J412" s="13"/>
      <c r="K412" s="13"/>
      <c r="L412" s="13"/>
      <c r="M412" s="13"/>
      <c r="N412" s="13"/>
      <c r="O412" s="96"/>
      <c r="P412" s="13"/>
      <c r="Q412" s="13"/>
      <c r="R412" s="13"/>
      <c r="S412" s="82">
        <v>0</v>
      </c>
      <c r="T412" s="13"/>
      <c r="U412" s="13"/>
      <c r="V412" s="82">
        <v>0</v>
      </c>
    </row>
    <row r="413" spans="1:22" ht="30">
      <c r="A413" s="100" t="s">
        <v>95</v>
      </c>
      <c r="B413" s="90" t="s">
        <v>469</v>
      </c>
      <c r="C413" s="13"/>
      <c r="D413" s="13"/>
      <c r="E413" s="77"/>
      <c r="F413" s="13"/>
      <c r="G413" s="81"/>
      <c r="H413" s="13"/>
      <c r="I413" s="13"/>
      <c r="J413" s="13"/>
      <c r="K413" s="13"/>
      <c r="L413" s="13"/>
      <c r="M413" s="13"/>
      <c r="N413" s="13"/>
      <c r="O413" s="96"/>
      <c r="P413" s="13"/>
      <c r="Q413" s="13"/>
      <c r="R413" s="13"/>
      <c r="S413" s="82"/>
      <c r="T413" s="13"/>
      <c r="U413" s="13"/>
      <c r="V413" s="82"/>
    </row>
    <row r="414" spans="1:22" ht="75">
      <c r="A414" s="100" t="s">
        <v>97</v>
      </c>
      <c r="B414" s="138" t="s">
        <v>470</v>
      </c>
      <c r="C414" s="13"/>
      <c r="D414" s="13"/>
      <c r="E414" s="77"/>
      <c r="F414" s="13"/>
      <c r="G414" s="82"/>
      <c r="H414" s="13"/>
      <c r="I414" s="13"/>
      <c r="J414" s="13"/>
      <c r="K414" s="13"/>
      <c r="L414" s="13"/>
      <c r="M414" s="13"/>
      <c r="N414" s="13"/>
      <c r="O414" s="74">
        <f>100-100</f>
        <v>0</v>
      </c>
      <c r="P414" s="13"/>
      <c r="Q414" s="13"/>
      <c r="R414" s="13"/>
      <c r="S414" s="82">
        <v>0</v>
      </c>
      <c r="T414" s="13"/>
      <c r="U414" s="13"/>
      <c r="V414" s="82">
        <v>0</v>
      </c>
    </row>
    <row r="415" spans="1:22" ht="45">
      <c r="A415" s="100" t="s">
        <v>99</v>
      </c>
      <c r="B415" s="138" t="s">
        <v>471</v>
      </c>
      <c r="C415" s="13"/>
      <c r="D415" s="13"/>
      <c r="E415" s="77"/>
      <c r="F415" s="13"/>
      <c r="G415" s="82"/>
      <c r="H415" s="13"/>
      <c r="I415" s="13"/>
      <c r="J415" s="13"/>
      <c r="K415" s="13"/>
      <c r="L415" s="13"/>
      <c r="M415" s="13"/>
      <c r="N415" s="13"/>
      <c r="O415" s="74"/>
      <c r="P415" s="13"/>
      <c r="Q415" s="13"/>
      <c r="R415" s="13"/>
      <c r="S415" s="82"/>
      <c r="T415" s="13"/>
      <c r="U415" s="13"/>
      <c r="V415" s="82"/>
    </row>
    <row r="416" spans="1:22" ht="60">
      <c r="A416" s="100" t="s">
        <v>101</v>
      </c>
      <c r="B416" s="138" t="s">
        <v>472</v>
      </c>
      <c r="C416" s="13"/>
      <c r="D416" s="13"/>
      <c r="E416" s="77"/>
      <c r="F416" s="13"/>
      <c r="G416" s="82"/>
      <c r="H416" s="13"/>
      <c r="I416" s="13"/>
      <c r="J416" s="13"/>
      <c r="K416" s="13"/>
      <c r="L416" s="13"/>
      <c r="M416" s="13"/>
      <c r="N416" s="13"/>
      <c r="O416" s="74"/>
      <c r="P416" s="13"/>
      <c r="Q416" s="13"/>
      <c r="R416" s="13"/>
      <c r="S416" s="82"/>
      <c r="T416" s="13"/>
      <c r="U416" s="13"/>
      <c r="V416" s="82"/>
    </row>
    <row r="417" spans="1:22" ht="60">
      <c r="A417" s="100" t="s">
        <v>117</v>
      </c>
      <c r="B417" s="138" t="s">
        <v>473</v>
      </c>
      <c r="C417" s="13"/>
      <c r="D417" s="13"/>
      <c r="E417" s="77"/>
      <c r="F417" s="13"/>
      <c r="G417" s="82"/>
      <c r="H417" s="13"/>
      <c r="I417" s="13"/>
      <c r="J417" s="13"/>
      <c r="K417" s="13"/>
      <c r="L417" s="13"/>
      <c r="M417" s="13"/>
      <c r="N417" s="13"/>
      <c r="O417" s="74"/>
      <c r="P417" s="13"/>
      <c r="Q417" s="13"/>
      <c r="R417" s="13"/>
      <c r="S417" s="82"/>
      <c r="T417" s="13"/>
      <c r="U417" s="13"/>
      <c r="V417" s="82"/>
    </row>
    <row r="418" spans="1:22" ht="30">
      <c r="A418" s="100" t="s">
        <v>119</v>
      </c>
      <c r="B418" s="138" t="s">
        <v>474</v>
      </c>
      <c r="C418" s="13"/>
      <c r="D418" s="13"/>
      <c r="E418" s="77"/>
      <c r="F418" s="13"/>
      <c r="G418" s="82"/>
      <c r="H418" s="13"/>
      <c r="I418" s="13"/>
      <c r="J418" s="13"/>
      <c r="K418" s="13"/>
      <c r="L418" s="13"/>
      <c r="M418" s="13"/>
      <c r="N418" s="13"/>
      <c r="O418" s="74"/>
      <c r="P418" s="13"/>
      <c r="Q418" s="13"/>
      <c r="R418" s="13"/>
      <c r="S418" s="82"/>
      <c r="T418" s="13"/>
      <c r="U418" s="13"/>
      <c r="V418" s="82"/>
    </row>
    <row r="419" spans="1:22" ht="45">
      <c r="A419" s="100" t="s">
        <v>121</v>
      </c>
      <c r="B419" s="138" t="s">
        <v>475</v>
      </c>
      <c r="C419" s="13"/>
      <c r="D419" s="13"/>
      <c r="E419" s="77"/>
      <c r="F419" s="13"/>
      <c r="G419" s="82"/>
      <c r="H419" s="13"/>
      <c r="I419" s="13"/>
      <c r="J419" s="13"/>
      <c r="K419" s="13"/>
      <c r="L419" s="13"/>
      <c r="M419" s="13"/>
      <c r="N419" s="13"/>
      <c r="O419" s="74"/>
      <c r="P419" s="13"/>
      <c r="Q419" s="13"/>
      <c r="R419" s="13"/>
      <c r="S419" s="82"/>
      <c r="T419" s="13"/>
      <c r="U419" s="13"/>
      <c r="V419" s="82"/>
    </row>
    <row r="420" spans="1:22" ht="30">
      <c r="A420" s="100" t="s">
        <v>123</v>
      </c>
      <c r="B420" s="138" t="s">
        <v>476</v>
      </c>
      <c r="C420" s="13"/>
      <c r="D420" s="13"/>
      <c r="E420" s="77"/>
      <c r="F420" s="13"/>
      <c r="G420" s="82"/>
      <c r="H420" s="13"/>
      <c r="I420" s="13"/>
      <c r="J420" s="13"/>
      <c r="K420" s="13"/>
      <c r="L420" s="13"/>
      <c r="M420" s="13"/>
      <c r="N420" s="13"/>
      <c r="O420" s="74"/>
      <c r="P420" s="13"/>
      <c r="Q420" s="13"/>
      <c r="R420" s="13"/>
      <c r="S420" s="82"/>
      <c r="T420" s="13"/>
      <c r="U420" s="13"/>
      <c r="V420" s="82"/>
    </row>
    <row r="421" spans="1:22" ht="45">
      <c r="A421" s="100" t="s">
        <v>125</v>
      </c>
      <c r="B421" s="138" t="s">
        <v>477</v>
      </c>
      <c r="C421" s="13"/>
      <c r="D421" s="13"/>
      <c r="E421" s="77"/>
      <c r="F421" s="13"/>
      <c r="G421" s="82"/>
      <c r="H421" s="13"/>
      <c r="I421" s="13"/>
      <c r="J421" s="13"/>
      <c r="K421" s="13"/>
      <c r="L421" s="13"/>
      <c r="M421" s="13"/>
      <c r="N421" s="13"/>
      <c r="O421" s="74"/>
      <c r="P421" s="13"/>
      <c r="Q421" s="13"/>
      <c r="R421" s="13"/>
      <c r="S421" s="82"/>
      <c r="T421" s="13"/>
      <c r="U421" s="13"/>
      <c r="V421" s="82"/>
    </row>
    <row r="422" spans="1:22" ht="60">
      <c r="A422" s="100" t="s">
        <v>127</v>
      </c>
      <c r="B422" s="138" t="s">
        <v>478</v>
      </c>
      <c r="C422" s="13"/>
      <c r="D422" s="13"/>
      <c r="E422" s="77"/>
      <c r="F422" s="13"/>
      <c r="G422" s="82"/>
      <c r="H422" s="13"/>
      <c r="I422" s="13"/>
      <c r="J422" s="13"/>
      <c r="K422" s="13"/>
      <c r="L422" s="13"/>
      <c r="M422" s="13"/>
      <c r="N422" s="13"/>
      <c r="O422" s="74"/>
      <c r="P422" s="13"/>
      <c r="Q422" s="13"/>
      <c r="R422" s="13"/>
      <c r="S422" s="82"/>
      <c r="T422" s="13"/>
      <c r="U422" s="13"/>
      <c r="V422" s="82"/>
    </row>
    <row r="423" spans="1:22" ht="45">
      <c r="A423" s="100" t="s">
        <v>129</v>
      </c>
      <c r="B423" s="138" t="s">
        <v>479</v>
      </c>
      <c r="C423" s="13"/>
      <c r="D423" s="13"/>
      <c r="E423" s="77"/>
      <c r="F423" s="13"/>
      <c r="G423" s="82"/>
      <c r="H423" s="13"/>
      <c r="I423" s="13"/>
      <c r="J423" s="13"/>
      <c r="K423" s="13"/>
      <c r="L423" s="13"/>
      <c r="M423" s="13"/>
      <c r="N423" s="13"/>
      <c r="O423" s="74"/>
      <c r="P423" s="13"/>
      <c r="Q423" s="13"/>
      <c r="R423" s="13"/>
      <c r="S423" s="82"/>
      <c r="T423" s="13"/>
      <c r="U423" s="13"/>
      <c r="V423" s="82"/>
    </row>
    <row r="424" spans="1:22" ht="15">
      <c r="A424" s="62" t="s">
        <v>480</v>
      </c>
      <c r="B424" s="111" t="s">
        <v>481</v>
      </c>
      <c r="C424" s="13"/>
      <c r="D424" s="13"/>
      <c r="E424" s="77"/>
      <c r="F424" s="13"/>
      <c r="G424" s="59"/>
      <c r="H424" s="13"/>
      <c r="I424" s="13"/>
      <c r="J424" s="13"/>
      <c r="K424" s="13"/>
      <c r="L424" s="13"/>
      <c r="M424" s="13"/>
      <c r="N424" s="13"/>
      <c r="O424" s="59"/>
      <c r="P424" s="13"/>
      <c r="Q424" s="13"/>
      <c r="R424" s="13"/>
      <c r="S424" s="59"/>
      <c r="T424" s="13"/>
      <c r="U424" s="13"/>
      <c r="V424" s="59"/>
    </row>
    <row r="425" spans="1:22" ht="75">
      <c r="A425" s="100" t="s">
        <v>89</v>
      </c>
      <c r="B425" s="138" t="s">
        <v>482</v>
      </c>
      <c r="C425" s="13"/>
      <c r="D425" s="13"/>
      <c r="E425" s="77"/>
      <c r="F425" s="13"/>
      <c r="G425" s="82"/>
      <c r="H425" s="13"/>
      <c r="I425" s="13"/>
      <c r="J425" s="13"/>
      <c r="K425" s="13"/>
      <c r="L425" s="13"/>
      <c r="M425" s="13"/>
      <c r="N425" s="13"/>
      <c r="O425" s="74"/>
      <c r="P425" s="13"/>
      <c r="Q425" s="13"/>
      <c r="R425" s="13"/>
      <c r="S425" s="82"/>
      <c r="T425" s="13"/>
      <c r="U425" s="13"/>
      <c r="V425" s="82"/>
    </row>
    <row r="426" spans="1:22" ht="30">
      <c r="A426" s="100" t="s">
        <v>91</v>
      </c>
      <c r="B426" s="138" t="s">
        <v>483</v>
      </c>
      <c r="C426" s="13"/>
      <c r="D426" s="13"/>
      <c r="E426" s="77"/>
      <c r="F426" s="13"/>
      <c r="G426" s="82"/>
      <c r="H426" s="13"/>
      <c r="I426" s="13"/>
      <c r="J426" s="13"/>
      <c r="K426" s="13"/>
      <c r="L426" s="13"/>
      <c r="M426" s="13"/>
      <c r="N426" s="13"/>
      <c r="O426" s="74"/>
      <c r="P426" s="13"/>
      <c r="Q426" s="13"/>
      <c r="R426" s="13"/>
      <c r="S426" s="82"/>
      <c r="T426" s="13"/>
      <c r="U426" s="13"/>
      <c r="V426" s="82"/>
    </row>
    <row r="427" spans="1:22" ht="30">
      <c r="A427" s="100" t="s">
        <v>93</v>
      </c>
      <c r="B427" s="138" t="s">
        <v>484</v>
      </c>
      <c r="C427" s="13"/>
      <c r="D427" s="13"/>
      <c r="E427" s="77"/>
      <c r="F427" s="13"/>
      <c r="G427" s="82"/>
      <c r="H427" s="13"/>
      <c r="I427" s="13"/>
      <c r="J427" s="13"/>
      <c r="K427" s="13"/>
      <c r="L427" s="13"/>
      <c r="M427" s="13"/>
      <c r="N427" s="13"/>
      <c r="O427" s="74"/>
      <c r="P427" s="13"/>
      <c r="Q427" s="13"/>
      <c r="R427" s="13"/>
      <c r="S427" s="82"/>
      <c r="T427" s="13"/>
      <c r="U427" s="13"/>
      <c r="V427" s="82"/>
    </row>
    <row r="428" spans="1:22" ht="30">
      <c r="A428" s="100" t="s">
        <v>95</v>
      </c>
      <c r="B428" s="138" t="s">
        <v>485</v>
      </c>
      <c r="C428" s="13"/>
      <c r="D428" s="13"/>
      <c r="E428" s="77"/>
      <c r="F428" s="13"/>
      <c r="G428" s="82"/>
      <c r="H428" s="13"/>
      <c r="I428" s="13"/>
      <c r="J428" s="13"/>
      <c r="K428" s="13"/>
      <c r="L428" s="13"/>
      <c r="M428" s="13"/>
      <c r="N428" s="13"/>
      <c r="O428" s="74"/>
      <c r="P428" s="13"/>
      <c r="Q428" s="13"/>
      <c r="R428" s="13"/>
      <c r="S428" s="82"/>
      <c r="T428" s="13"/>
      <c r="U428" s="13"/>
      <c r="V428" s="82"/>
    </row>
    <row r="429" spans="1:22" ht="30">
      <c r="A429" s="100" t="s">
        <v>97</v>
      </c>
      <c r="B429" s="138" t="s">
        <v>486</v>
      </c>
      <c r="C429" s="13"/>
      <c r="D429" s="13"/>
      <c r="E429" s="77"/>
      <c r="F429" s="13"/>
      <c r="G429" s="82"/>
      <c r="H429" s="13"/>
      <c r="I429" s="13"/>
      <c r="J429" s="13"/>
      <c r="K429" s="13"/>
      <c r="L429" s="13"/>
      <c r="M429" s="13"/>
      <c r="N429" s="13"/>
      <c r="O429" s="74"/>
      <c r="P429" s="13"/>
      <c r="Q429" s="13"/>
      <c r="R429" s="13"/>
      <c r="S429" s="82"/>
      <c r="T429" s="13"/>
      <c r="U429" s="13"/>
      <c r="V429" s="82"/>
    </row>
    <row r="430" spans="1:22" ht="30">
      <c r="A430" s="100" t="s">
        <v>99</v>
      </c>
      <c r="B430" s="138" t="s">
        <v>487</v>
      </c>
      <c r="C430" s="13"/>
      <c r="D430" s="13"/>
      <c r="E430" s="77"/>
      <c r="F430" s="13"/>
      <c r="G430" s="82"/>
      <c r="H430" s="13"/>
      <c r="I430" s="13"/>
      <c r="J430" s="13"/>
      <c r="K430" s="13"/>
      <c r="L430" s="13"/>
      <c r="M430" s="13"/>
      <c r="N430" s="13"/>
      <c r="O430" s="74"/>
      <c r="P430" s="13"/>
      <c r="Q430" s="13"/>
      <c r="R430" s="13"/>
      <c r="S430" s="82"/>
      <c r="T430" s="13"/>
      <c r="U430" s="13"/>
      <c r="V430" s="82"/>
    </row>
    <row r="431" spans="1:22" ht="30">
      <c r="A431" s="100" t="s">
        <v>101</v>
      </c>
      <c r="B431" s="138" t="s">
        <v>488</v>
      </c>
      <c r="C431" s="13"/>
      <c r="D431" s="13"/>
      <c r="E431" s="77"/>
      <c r="F431" s="13"/>
      <c r="G431" s="82"/>
      <c r="H431" s="13"/>
      <c r="I431" s="13"/>
      <c r="J431" s="13"/>
      <c r="K431" s="13"/>
      <c r="L431" s="13"/>
      <c r="M431" s="13"/>
      <c r="N431" s="13"/>
      <c r="O431" s="74"/>
      <c r="P431" s="13"/>
      <c r="Q431" s="13"/>
      <c r="R431" s="13"/>
      <c r="S431" s="82"/>
      <c r="T431" s="13"/>
      <c r="U431" s="13"/>
      <c r="V431" s="82"/>
    </row>
    <row r="432" spans="1:22" ht="28.5">
      <c r="A432" s="62" t="s">
        <v>489</v>
      </c>
      <c r="B432" s="142" t="s">
        <v>58</v>
      </c>
      <c r="C432" s="13"/>
      <c r="D432" s="13"/>
      <c r="E432" s="77"/>
      <c r="F432" s="13"/>
      <c r="G432" s="110"/>
      <c r="H432" s="13"/>
      <c r="I432" s="13"/>
      <c r="J432" s="13"/>
      <c r="K432" s="13"/>
      <c r="L432" s="13"/>
      <c r="M432" s="13"/>
      <c r="N432" s="13"/>
      <c r="O432" s="59"/>
      <c r="P432" s="13"/>
      <c r="Q432" s="13"/>
      <c r="R432" s="13"/>
      <c r="S432" s="110">
        <v>338180</v>
      </c>
      <c r="T432" s="13"/>
      <c r="U432" s="13"/>
      <c r="V432" s="110">
        <v>338180</v>
      </c>
    </row>
    <row r="433" spans="1:22" ht="28.5">
      <c r="A433" s="64" t="s">
        <v>89</v>
      </c>
      <c r="B433" s="143" t="s">
        <v>490</v>
      </c>
      <c r="C433" s="13"/>
      <c r="D433" s="13"/>
      <c r="E433" s="77"/>
      <c r="F433" s="13"/>
      <c r="G433" s="110"/>
      <c r="H433" s="13"/>
      <c r="I433" s="13"/>
      <c r="J433" s="13"/>
      <c r="K433" s="13"/>
      <c r="L433" s="13"/>
      <c r="M433" s="13"/>
      <c r="N433" s="13"/>
      <c r="O433" s="110"/>
      <c r="P433" s="13"/>
      <c r="Q433" s="13"/>
      <c r="R433" s="13"/>
      <c r="S433" s="110">
        <v>338180</v>
      </c>
      <c r="T433" s="13"/>
      <c r="U433" s="13"/>
      <c r="V433" s="110">
        <v>338180</v>
      </c>
    </row>
    <row r="434" spans="1:22" ht="75">
      <c r="A434" s="103" t="s">
        <v>106</v>
      </c>
      <c r="B434" s="144" t="s">
        <v>491</v>
      </c>
      <c r="C434" s="13"/>
      <c r="D434" s="13"/>
      <c r="E434" s="67"/>
      <c r="F434" s="13"/>
      <c r="G434" s="82"/>
      <c r="H434" s="13"/>
      <c r="I434" s="13"/>
      <c r="J434" s="13"/>
      <c r="K434" s="13"/>
      <c r="L434" s="13"/>
      <c r="M434" s="13"/>
      <c r="N434" s="13"/>
      <c r="O434" s="82"/>
      <c r="P434" s="13"/>
      <c r="Q434" s="13"/>
      <c r="R434" s="13"/>
      <c r="S434" s="82">
        <v>36300</v>
      </c>
      <c r="T434" s="13"/>
      <c r="U434" s="13"/>
      <c r="V434" s="82">
        <v>36300</v>
      </c>
    </row>
    <row r="435" spans="1:22" ht="60">
      <c r="A435" s="103" t="s">
        <v>106</v>
      </c>
      <c r="B435" s="144" t="s">
        <v>492</v>
      </c>
      <c r="C435" s="13"/>
      <c r="D435" s="13"/>
      <c r="E435" s="67"/>
      <c r="F435" s="13"/>
      <c r="G435" s="82"/>
      <c r="H435" s="13"/>
      <c r="I435" s="13"/>
      <c r="J435" s="13"/>
      <c r="K435" s="13"/>
      <c r="L435" s="13"/>
      <c r="M435" s="13"/>
      <c r="N435" s="13"/>
      <c r="O435" s="82"/>
      <c r="P435" s="13"/>
      <c r="Q435" s="13"/>
      <c r="R435" s="13"/>
      <c r="S435" s="82">
        <v>146600</v>
      </c>
      <c r="T435" s="13"/>
      <c r="U435" s="13"/>
      <c r="V435" s="82">
        <v>146600</v>
      </c>
    </row>
    <row r="436" spans="1:22" ht="60">
      <c r="A436" s="103" t="s">
        <v>106</v>
      </c>
      <c r="B436" s="144" t="s">
        <v>493</v>
      </c>
      <c r="C436" s="13"/>
      <c r="D436" s="13"/>
      <c r="E436" s="67"/>
      <c r="F436" s="13"/>
      <c r="G436" s="82"/>
      <c r="H436" s="13"/>
      <c r="I436" s="13"/>
      <c r="J436" s="13"/>
      <c r="K436" s="13"/>
      <c r="L436" s="13"/>
      <c r="M436" s="13"/>
      <c r="N436" s="13"/>
      <c r="O436" s="82"/>
      <c r="P436" s="13"/>
      <c r="Q436" s="13"/>
      <c r="R436" s="13"/>
      <c r="S436" s="82">
        <v>70000</v>
      </c>
      <c r="T436" s="13"/>
      <c r="U436" s="13"/>
      <c r="V436" s="82">
        <v>70000</v>
      </c>
    </row>
    <row r="437" spans="1:22" ht="60">
      <c r="A437" s="103" t="s">
        <v>106</v>
      </c>
      <c r="B437" s="144" t="s">
        <v>494</v>
      </c>
      <c r="C437" s="13"/>
      <c r="D437" s="13"/>
      <c r="E437" s="67"/>
      <c r="F437" s="13"/>
      <c r="G437" s="82"/>
      <c r="H437" s="13"/>
      <c r="I437" s="13"/>
      <c r="J437" s="13"/>
      <c r="K437" s="13"/>
      <c r="L437" s="13"/>
      <c r="M437" s="13"/>
      <c r="N437" s="13"/>
      <c r="O437" s="82"/>
      <c r="P437" s="13"/>
      <c r="Q437" s="13"/>
      <c r="R437" s="13"/>
      <c r="S437" s="82">
        <v>82880</v>
      </c>
      <c r="T437" s="13"/>
      <c r="U437" s="13"/>
      <c r="V437" s="82">
        <v>82880</v>
      </c>
    </row>
    <row r="438" spans="1:22" ht="28.5">
      <c r="A438" s="64" t="s">
        <v>91</v>
      </c>
      <c r="B438" s="143" t="s">
        <v>495</v>
      </c>
      <c r="C438" s="13"/>
      <c r="D438" s="13"/>
      <c r="E438" s="77"/>
      <c r="F438" s="13"/>
      <c r="G438" s="110"/>
      <c r="H438" s="13"/>
      <c r="I438" s="13"/>
      <c r="J438" s="13"/>
      <c r="K438" s="13"/>
      <c r="L438" s="13"/>
      <c r="M438" s="13"/>
      <c r="N438" s="13"/>
      <c r="O438" s="59"/>
      <c r="P438" s="13"/>
      <c r="Q438" s="13"/>
      <c r="R438" s="13"/>
      <c r="S438" s="110">
        <v>0</v>
      </c>
      <c r="T438" s="13"/>
      <c r="U438" s="13"/>
      <c r="V438" s="110">
        <v>0</v>
      </c>
    </row>
    <row r="439" spans="1:22" ht="57">
      <c r="A439" s="64" t="s">
        <v>93</v>
      </c>
      <c r="B439" s="145" t="s">
        <v>496</v>
      </c>
      <c r="C439" s="13"/>
      <c r="D439" s="13"/>
      <c r="E439" s="77"/>
      <c r="F439" s="13"/>
      <c r="G439" s="110"/>
      <c r="H439" s="13"/>
      <c r="I439" s="13"/>
      <c r="J439" s="13"/>
      <c r="K439" s="13"/>
      <c r="L439" s="13"/>
      <c r="M439" s="13"/>
      <c r="N439" s="13"/>
      <c r="O439" s="59"/>
      <c r="P439" s="13"/>
      <c r="Q439" s="13"/>
      <c r="R439" s="13"/>
      <c r="S439" s="110">
        <v>0</v>
      </c>
      <c r="T439" s="13"/>
      <c r="U439" s="13"/>
      <c r="V439" s="110">
        <v>0</v>
      </c>
    </row>
    <row r="440" spans="1:22" ht="28.5">
      <c r="A440" s="62" t="s">
        <v>497</v>
      </c>
      <c r="B440" s="142" t="s">
        <v>498</v>
      </c>
      <c r="C440" s="13"/>
      <c r="D440" s="13"/>
      <c r="E440" s="77"/>
      <c r="F440" s="13"/>
      <c r="G440" s="110"/>
      <c r="H440" s="13"/>
      <c r="I440" s="13"/>
      <c r="J440" s="13"/>
      <c r="K440" s="13"/>
      <c r="L440" s="13"/>
      <c r="M440" s="13"/>
      <c r="N440" s="13"/>
      <c r="O440" s="59">
        <v>3000</v>
      </c>
      <c r="P440" s="13"/>
      <c r="Q440" s="13"/>
      <c r="R440" s="13"/>
      <c r="S440" s="110">
        <v>3000</v>
      </c>
      <c r="T440" s="13"/>
      <c r="U440" s="13"/>
      <c r="V440" s="110">
        <v>3000</v>
      </c>
    </row>
    <row r="441" spans="1:22" ht="28.5">
      <c r="A441" s="62" t="s">
        <v>499</v>
      </c>
      <c r="B441" s="142" t="s">
        <v>500</v>
      </c>
      <c r="C441" s="13"/>
      <c r="D441" s="13"/>
      <c r="E441" s="77"/>
      <c r="F441" s="13"/>
      <c r="G441" s="110"/>
      <c r="H441" s="13"/>
      <c r="I441" s="13"/>
      <c r="J441" s="13"/>
      <c r="K441" s="13"/>
      <c r="L441" s="13"/>
      <c r="M441" s="13"/>
      <c r="N441" s="13"/>
      <c r="O441" s="59">
        <v>8000</v>
      </c>
      <c r="P441" s="13"/>
      <c r="Q441" s="13"/>
      <c r="R441" s="13"/>
      <c r="S441" s="110">
        <v>8000</v>
      </c>
      <c r="T441" s="13"/>
      <c r="U441" s="13"/>
      <c r="V441" s="110">
        <v>8000</v>
      </c>
    </row>
    <row r="442" spans="1:22" ht="15">
      <c r="A442" s="62" t="s">
        <v>501</v>
      </c>
      <c r="B442" s="142" t="s">
        <v>502</v>
      </c>
      <c r="C442" s="13"/>
      <c r="D442" s="13"/>
      <c r="E442" s="77"/>
      <c r="F442" s="13"/>
      <c r="G442" s="110"/>
      <c r="H442" s="13"/>
      <c r="I442" s="13"/>
      <c r="J442" s="13"/>
      <c r="K442" s="13"/>
      <c r="L442" s="13"/>
      <c r="M442" s="13"/>
      <c r="N442" s="13"/>
      <c r="O442" s="59"/>
      <c r="P442" s="13"/>
      <c r="Q442" s="13"/>
      <c r="R442" s="13"/>
      <c r="S442" s="110">
        <v>3000</v>
      </c>
      <c r="T442" s="13"/>
      <c r="U442" s="13"/>
      <c r="V442" s="110">
        <v>3000</v>
      </c>
    </row>
    <row r="443" spans="1:22" ht="85.5">
      <c r="A443" s="62" t="s">
        <v>503</v>
      </c>
      <c r="B443" s="142" t="s">
        <v>74</v>
      </c>
      <c r="C443" s="13"/>
      <c r="D443" s="13"/>
      <c r="E443" s="77"/>
      <c r="F443" s="13"/>
      <c r="G443" s="110"/>
      <c r="H443" s="13"/>
      <c r="I443" s="13"/>
      <c r="J443" s="13"/>
      <c r="K443" s="13"/>
      <c r="L443" s="13"/>
      <c r="M443" s="13"/>
      <c r="N443" s="13"/>
      <c r="O443" s="59">
        <f>0+6000</f>
        <v>6000</v>
      </c>
      <c r="P443" s="13"/>
      <c r="Q443" s="13"/>
      <c r="R443" s="13"/>
      <c r="S443" s="110">
        <v>2500</v>
      </c>
      <c r="T443" s="13"/>
      <c r="U443" s="13"/>
      <c r="V443" s="110">
        <v>2500</v>
      </c>
    </row>
    <row r="444" spans="1:22" ht="42.75">
      <c r="A444" s="62" t="s">
        <v>504</v>
      </c>
      <c r="B444" s="142" t="s">
        <v>505</v>
      </c>
      <c r="C444" s="13"/>
      <c r="D444" s="13"/>
      <c r="E444" s="77"/>
      <c r="F444" s="13"/>
      <c r="G444" s="110"/>
      <c r="H444" s="13"/>
      <c r="I444" s="13"/>
      <c r="J444" s="13"/>
      <c r="K444" s="13"/>
      <c r="L444" s="13"/>
      <c r="M444" s="13"/>
      <c r="N444" s="13"/>
      <c r="O444" s="59"/>
      <c r="P444" s="13"/>
      <c r="Q444" s="13"/>
      <c r="R444" s="13"/>
      <c r="S444" s="110">
        <v>2000</v>
      </c>
      <c r="T444" s="13"/>
      <c r="U444" s="13"/>
      <c r="V444" s="110">
        <v>2000</v>
      </c>
    </row>
    <row r="445" spans="1:22" ht="15">
      <c r="A445" s="103" t="s">
        <v>89</v>
      </c>
      <c r="B445" s="138" t="s">
        <v>506</v>
      </c>
      <c r="C445" s="13"/>
      <c r="D445" s="13"/>
      <c r="E445" s="67"/>
      <c r="F445" s="13"/>
      <c r="G445" s="82"/>
      <c r="H445" s="13"/>
      <c r="I445" s="13"/>
      <c r="J445" s="13"/>
      <c r="K445" s="13"/>
      <c r="L445" s="13"/>
      <c r="M445" s="13"/>
      <c r="N445" s="13"/>
      <c r="O445" s="74"/>
      <c r="P445" s="13"/>
      <c r="Q445" s="13"/>
      <c r="R445" s="13"/>
      <c r="S445" s="82">
        <v>2000</v>
      </c>
      <c r="T445" s="13"/>
      <c r="U445" s="13"/>
      <c r="V445" s="82">
        <v>2000</v>
      </c>
    </row>
    <row r="446" spans="1:22" ht="71.25">
      <c r="A446" s="62" t="s">
        <v>507</v>
      </c>
      <c r="B446" s="142" t="s">
        <v>508</v>
      </c>
      <c r="C446" s="13"/>
      <c r="D446" s="13"/>
      <c r="E446" s="77"/>
      <c r="F446" s="13"/>
      <c r="G446" s="110"/>
      <c r="H446" s="13"/>
      <c r="I446" s="13"/>
      <c r="J446" s="13"/>
      <c r="K446" s="13"/>
      <c r="L446" s="13"/>
      <c r="M446" s="13"/>
      <c r="N446" s="13"/>
      <c r="O446" s="59"/>
      <c r="P446" s="13"/>
      <c r="Q446" s="13"/>
      <c r="R446" s="13"/>
      <c r="S446" s="110">
        <v>50000</v>
      </c>
      <c r="T446" s="13"/>
      <c r="U446" s="13"/>
      <c r="V446" s="110">
        <v>50000</v>
      </c>
    </row>
    <row r="447" spans="1:22" ht="42.75">
      <c r="A447" s="62" t="s">
        <v>509</v>
      </c>
      <c r="B447" s="142" t="s">
        <v>510</v>
      </c>
      <c r="C447" s="13"/>
      <c r="D447" s="13"/>
      <c r="E447" s="77"/>
      <c r="F447" s="13"/>
      <c r="G447" s="110"/>
      <c r="H447" s="13"/>
      <c r="I447" s="13"/>
      <c r="J447" s="13"/>
      <c r="K447" s="13"/>
      <c r="L447" s="13"/>
      <c r="M447" s="13"/>
      <c r="N447" s="13"/>
      <c r="O447" s="59"/>
      <c r="P447" s="13"/>
      <c r="Q447" s="13"/>
      <c r="R447" s="13"/>
      <c r="S447" s="110">
        <v>100000</v>
      </c>
      <c r="T447" s="13"/>
      <c r="U447" s="13"/>
      <c r="V447" s="110">
        <v>100000</v>
      </c>
    </row>
    <row r="448" spans="1:22" ht="28.5">
      <c r="A448" s="62" t="s">
        <v>511</v>
      </c>
      <c r="B448" s="142" t="s">
        <v>512</v>
      </c>
      <c r="C448" s="13"/>
      <c r="D448" s="13"/>
      <c r="E448" s="77"/>
      <c r="F448" s="13"/>
      <c r="G448" s="110"/>
      <c r="H448" s="13"/>
      <c r="I448" s="13"/>
      <c r="J448" s="13"/>
      <c r="K448" s="13"/>
      <c r="L448" s="13"/>
      <c r="M448" s="13"/>
      <c r="N448" s="13"/>
      <c r="O448" s="59"/>
      <c r="P448" s="13"/>
      <c r="Q448" s="13"/>
      <c r="R448" s="13"/>
      <c r="S448" s="110"/>
      <c r="T448" s="13"/>
      <c r="U448" s="13"/>
      <c r="V448" s="110"/>
    </row>
    <row r="449" spans="1:22" ht="60">
      <c r="A449" s="100" t="s">
        <v>89</v>
      </c>
      <c r="B449" s="90" t="s">
        <v>513</v>
      </c>
      <c r="C449" s="13"/>
      <c r="D449" s="13"/>
      <c r="E449" s="73" t="s">
        <v>20</v>
      </c>
      <c r="F449" s="13"/>
      <c r="G449" s="81"/>
      <c r="H449" s="13"/>
      <c r="I449" s="13"/>
      <c r="J449" s="13"/>
      <c r="K449" s="13"/>
      <c r="L449" s="13"/>
      <c r="M449" s="13"/>
      <c r="N449" s="13"/>
      <c r="O449" s="74"/>
      <c r="P449" s="13"/>
      <c r="Q449" s="13"/>
      <c r="R449" s="13"/>
      <c r="S449" s="88">
        <v>0</v>
      </c>
      <c r="T449" s="13"/>
      <c r="U449" s="13"/>
      <c r="V449" s="88">
        <v>0</v>
      </c>
    </row>
    <row r="450" spans="1:22" ht="15">
      <c r="A450" s="14"/>
      <c r="B450" s="14"/>
      <c r="C450" s="14"/>
      <c r="D450" s="14"/>
      <c r="E450" s="14"/>
      <c r="F450" s="14"/>
      <c r="G450" s="14"/>
      <c r="H450" s="14"/>
      <c r="I450" s="14"/>
      <c r="J450" s="14"/>
      <c r="K450" s="14"/>
      <c r="L450" s="14"/>
      <c r="M450" s="14"/>
      <c r="N450" s="14"/>
      <c r="O450" s="14"/>
      <c r="P450" s="14"/>
      <c r="Q450" s="14"/>
      <c r="R450" s="14"/>
      <c r="S450" s="14"/>
      <c r="T450" s="14"/>
      <c r="U450" s="14"/>
      <c r="V450" s="14"/>
    </row>
  </sheetData>
  <sheetProtection/>
  <mergeCells count="24">
    <mergeCell ref="T8:V8"/>
    <mergeCell ref="K8:K9"/>
    <mergeCell ref="S6:V7"/>
    <mergeCell ref="S8:S9"/>
    <mergeCell ref="A2:V2"/>
    <mergeCell ref="A3:V3"/>
    <mergeCell ref="A4:V4"/>
    <mergeCell ref="O8:O9"/>
    <mergeCell ref="P8:R8"/>
    <mergeCell ref="E6:E9"/>
    <mergeCell ref="H8:J8"/>
    <mergeCell ref="C6:C9"/>
    <mergeCell ref="D6:D9"/>
    <mergeCell ref="O6:R7"/>
    <mergeCell ref="U5:V5"/>
    <mergeCell ref="G8:G9"/>
    <mergeCell ref="L8:N8"/>
    <mergeCell ref="A6:A9"/>
    <mergeCell ref="B6:B9"/>
    <mergeCell ref="A1:B1"/>
    <mergeCell ref="F6:J6"/>
    <mergeCell ref="K6:N7"/>
    <mergeCell ref="F7:F9"/>
    <mergeCell ref="G7:J7"/>
  </mergeCells>
  <printOptions horizontalCentered="1"/>
  <pageMargins left="0.5" right="0.2" top="0.39" bottom="0.35" header="0.3" footer="0.17"/>
  <pageSetup fitToHeight="0" fitToWidth="1" horizontalDpi="600" verticalDpi="600" orientation="landscape" paperSize="9" scale="49" r:id="rId3"/>
  <headerFooter>
    <oddFooter>&amp;C &amp;P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Admin</cp:lastModifiedBy>
  <cp:lastPrinted>2024-01-15T10:15:49Z</cp:lastPrinted>
  <dcterms:created xsi:type="dcterms:W3CDTF">2018-08-22T07:49:45Z</dcterms:created>
  <dcterms:modified xsi:type="dcterms:W3CDTF">2024-01-17T04:04:25Z</dcterms:modified>
  <cp:category/>
  <cp:version/>
  <cp:contentType/>
  <cp:contentStatus/>
</cp:coreProperties>
</file>